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90" windowWidth="15600" windowHeight="8745" tabRatio="912" firstSheet="4" activeTab="4"/>
  </bookViews>
  <sheets>
    <sheet name="Total Awards" sheetId="1" state="hidden" r:id="rId1"/>
    <sheet name="Monthly CLAS Awards" sheetId="2" state="hidden" r:id="rId2"/>
    <sheet name="Award Type &amp; Geo Distribution" sheetId="3" state="hidden" r:id="rId3"/>
    <sheet name="Champions award split" sheetId="6" state="hidden" r:id="rId4"/>
    <sheet name="Chart for Awards" sheetId="9" r:id="rId5"/>
    <sheet name="for charts" sheetId="4" state="hidden" r:id="rId6"/>
    <sheet name="Chart for Geo Distribution" sheetId="5" r:id="rId7"/>
    <sheet name="Sheet3" sheetId="10" state="hidden" r:id="rId8"/>
  </sheets>
  <definedNames>
    <definedName name="_xlnm._FilterDatabase" localSheetId="7" hidden="1">Sheet3!$B$12:$B$32</definedName>
    <definedName name="_xlnm.Print_Area" localSheetId="2">'Award Type &amp; Geo Distribution'!$A$1:$G$39</definedName>
    <definedName name="_xlnm.Print_Area" localSheetId="3">'Champions award split'!$A$1:$A$9</definedName>
    <definedName name="_xlnm.Print_Area" localSheetId="6">'Chart for Geo Distribution'!$A$1:$N$63</definedName>
    <definedName name="_xlnm.Print_Area" localSheetId="5">'for charts'!$A$1:$N$8</definedName>
    <definedName name="_xlnm.Print_Area" localSheetId="1">'Monthly CLAS Awards'!$A$1:$D$19</definedName>
    <definedName name="_xlnm.Print_Area" localSheetId="0">'Total Awards'!$B$1:$H$41</definedName>
  </definedNames>
  <calcPr calcId="145621"/>
</workbook>
</file>

<file path=xl/calcChain.xml><?xml version="1.0" encoding="utf-8"?>
<calcChain xmlns="http://schemas.openxmlformats.org/spreadsheetml/2006/main">
  <c r="I62" i="5" l="1"/>
  <c r="G35" i="1"/>
  <c r="F35" i="1"/>
  <c r="E35" i="1"/>
  <c r="C38" i="3" l="1"/>
  <c r="C37" i="3"/>
  <c r="C36" i="3"/>
  <c r="C35" i="3"/>
  <c r="C34" i="3"/>
  <c r="C19" i="3"/>
  <c r="B17" i="2"/>
  <c r="B15" i="2"/>
  <c r="B13" i="2"/>
  <c r="E41" i="1"/>
  <c r="F6" i="3"/>
  <c r="F5" i="3"/>
  <c r="F4" i="3"/>
  <c r="F3" i="3"/>
  <c r="D17" i="3"/>
  <c r="D18" i="3"/>
  <c r="D15" i="3"/>
  <c r="D16" i="3"/>
  <c r="N16" i="3"/>
  <c r="N15" i="3"/>
  <c r="L16" i="3"/>
  <c r="L15" i="3"/>
  <c r="K16" i="3"/>
  <c r="K15" i="3"/>
  <c r="J16" i="3"/>
  <c r="J15" i="3"/>
  <c r="E39" i="1"/>
  <c r="N6" i="3" l="1"/>
  <c r="R6" i="3"/>
  <c r="E6" i="3"/>
  <c r="C6" i="3"/>
  <c r="D6" i="3"/>
  <c r="H6" i="3"/>
  <c r="I6" i="3"/>
  <c r="G6" i="3"/>
  <c r="K6" i="3"/>
  <c r="L6" i="3"/>
  <c r="M6" i="3"/>
  <c r="O6" i="3"/>
  <c r="P6" i="3"/>
  <c r="Q6" i="3"/>
  <c r="G33" i="1"/>
  <c r="F33" i="1"/>
  <c r="E33" i="1"/>
  <c r="H28" i="1"/>
  <c r="B27" i="10" l="1"/>
  <c r="C27" i="10"/>
  <c r="B25" i="10" l="1"/>
  <c r="C25" i="10"/>
  <c r="C130" i="3" l="1"/>
  <c r="C129" i="3"/>
  <c r="C128" i="3"/>
  <c r="C127" i="3"/>
  <c r="C126" i="3"/>
  <c r="B130" i="3" l="1"/>
  <c r="B129" i="3"/>
  <c r="B128" i="3"/>
  <c r="B127" i="3"/>
  <c r="B126" i="3"/>
  <c r="C110" i="3"/>
  <c r="C109" i="3"/>
  <c r="C108" i="3"/>
  <c r="C107" i="3"/>
  <c r="C106" i="3"/>
  <c r="B121" i="3"/>
  <c r="C119" i="3" s="1"/>
  <c r="C117" i="3" l="1"/>
  <c r="C120" i="3"/>
  <c r="B131" i="3"/>
  <c r="C118" i="3"/>
  <c r="C116" i="3"/>
  <c r="C121" i="3" l="1"/>
  <c r="A80" i="3" l="1"/>
  <c r="B27" i="3"/>
  <c r="B28" i="3"/>
  <c r="B25" i="3"/>
  <c r="Q30" i="3"/>
  <c r="B80" i="3" l="1"/>
  <c r="P30" i="3" l="1"/>
  <c r="O30" i="3"/>
  <c r="A72" i="3" l="1"/>
  <c r="A64" i="3"/>
  <c r="B26" i="3"/>
  <c r="B24" i="3"/>
  <c r="B64" i="3" l="1"/>
  <c r="B72" i="3"/>
  <c r="C131" i="3"/>
  <c r="AN32" i="6" l="1"/>
  <c r="AL31" i="6"/>
  <c r="AM31" i="6"/>
  <c r="AN31" i="6"/>
  <c r="AL29" i="6"/>
  <c r="AM29" i="6"/>
  <c r="AN29" i="6"/>
  <c r="AL28" i="6"/>
  <c r="AM28" i="6"/>
  <c r="AN28" i="6"/>
  <c r="AL27" i="6"/>
  <c r="AM27" i="6"/>
  <c r="AN27" i="6"/>
  <c r="AL26" i="6"/>
  <c r="AM26" i="6"/>
  <c r="AN26" i="6"/>
  <c r="AL25" i="6"/>
  <c r="AM25" i="6"/>
  <c r="AN25" i="6"/>
  <c r="AL24" i="6"/>
  <c r="AM24" i="6"/>
  <c r="AN24" i="6"/>
  <c r="AL23" i="6"/>
  <c r="AM23" i="6"/>
  <c r="AN23" i="6"/>
  <c r="AL22" i="6"/>
  <c r="AM22" i="6"/>
  <c r="AN22" i="6"/>
  <c r="AL21" i="6"/>
  <c r="AN21" i="6"/>
  <c r="AL20" i="6"/>
  <c r="AM20" i="6"/>
  <c r="AN20" i="6"/>
  <c r="AL19" i="6"/>
  <c r="AM19" i="6"/>
  <c r="AN19" i="6"/>
  <c r="AL18" i="6"/>
  <c r="AM18" i="6"/>
  <c r="AN18" i="6"/>
  <c r="AL17" i="6"/>
  <c r="AN17" i="6"/>
  <c r="AL16" i="6"/>
  <c r="AM16" i="6"/>
  <c r="AN16" i="6"/>
  <c r="AM15" i="6"/>
  <c r="AN15" i="6"/>
  <c r="AL14" i="6"/>
  <c r="AM14" i="6"/>
  <c r="AN14" i="6"/>
  <c r="AL13" i="6"/>
  <c r="AM13" i="6"/>
  <c r="AN13" i="6"/>
  <c r="E24" i="6"/>
  <c r="K33" i="6"/>
  <c r="J32" i="6"/>
  <c r="AM32" i="6" s="1"/>
  <c r="J21" i="6"/>
  <c r="AM21" i="6" s="1"/>
  <c r="J17" i="6"/>
  <c r="AM17" i="6" s="1"/>
  <c r="I15" i="6"/>
  <c r="AL15" i="6" s="1"/>
  <c r="I32" i="6"/>
  <c r="AL32" i="6" s="1"/>
  <c r="H21" i="6"/>
  <c r="G32" i="6"/>
  <c r="G24" i="6"/>
  <c r="P33" i="6"/>
  <c r="U33" i="6"/>
  <c r="AE33" i="6"/>
  <c r="AN33" i="6" l="1"/>
  <c r="AD33" i="6"/>
  <c r="T33" i="6"/>
  <c r="J33" i="6"/>
  <c r="AM33" i="6" l="1"/>
  <c r="AC33" i="6"/>
  <c r="S33" i="6"/>
  <c r="I33" i="6"/>
  <c r="AL33" i="6" l="1"/>
  <c r="A43" i="3"/>
  <c r="A44" i="3"/>
  <c r="B25" i="4"/>
  <c r="A42" i="3"/>
  <c r="M30" i="3"/>
  <c r="L30" i="3"/>
  <c r="K30" i="3"/>
  <c r="H34" i="1"/>
  <c r="B10" i="2" s="1"/>
  <c r="H33" i="1"/>
  <c r="B9" i="2" s="1"/>
  <c r="C99" i="3"/>
  <c r="C98" i="3"/>
  <c r="C97" i="3"/>
  <c r="C96" i="3"/>
  <c r="C95" i="3"/>
  <c r="B100" i="3"/>
  <c r="AK32" i="6"/>
  <c r="AK31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14" i="6"/>
  <c r="AK13" i="6"/>
  <c r="A46" i="3"/>
  <c r="I30" i="3"/>
  <c r="H30" i="3"/>
  <c r="G30" i="3"/>
  <c r="AB33" i="6"/>
  <c r="R33" i="6"/>
  <c r="H33" i="6"/>
  <c r="G7" i="4"/>
  <c r="F7" i="4"/>
  <c r="P34" i="5"/>
  <c r="B5" i="3"/>
  <c r="B4" i="3"/>
  <c r="B3" i="3"/>
  <c r="AH14" i="6"/>
  <c r="AH15" i="6"/>
  <c r="AH16" i="6"/>
  <c r="AH17" i="6"/>
  <c r="AH18" i="6"/>
  <c r="AH19" i="6"/>
  <c r="AH20" i="6"/>
  <c r="AH26" i="6"/>
  <c r="AH27" i="6"/>
  <c r="AI19" i="6"/>
  <c r="AI20" i="6"/>
  <c r="V20" i="6"/>
  <c r="AJ20" i="6" s="1"/>
  <c r="V19" i="6"/>
  <c r="AJ19" i="6" s="1"/>
  <c r="L20" i="6"/>
  <c r="L19" i="6"/>
  <c r="F33" i="6"/>
  <c r="B20" i="6"/>
  <c r="B19" i="6"/>
  <c r="B13" i="6"/>
  <c r="O33" i="6"/>
  <c r="E33" i="6"/>
  <c r="V16" i="6"/>
  <c r="L16" i="6"/>
  <c r="B16" i="6"/>
  <c r="V27" i="6"/>
  <c r="V15" i="6"/>
  <c r="L15" i="6"/>
  <c r="L27" i="6"/>
  <c r="B27" i="6"/>
  <c r="B28" i="6"/>
  <c r="B15" i="6"/>
  <c r="G16" i="6"/>
  <c r="AI27" i="6"/>
  <c r="AI16" i="6"/>
  <c r="AI15" i="6"/>
  <c r="C89" i="3"/>
  <c r="C88" i="3"/>
  <c r="C87" i="3"/>
  <c r="C86" i="3"/>
  <c r="C85" i="3"/>
  <c r="B90" i="3"/>
  <c r="AG24" i="6"/>
  <c r="AG25" i="6"/>
  <c r="V32" i="6"/>
  <c r="V31" i="6"/>
  <c r="V28" i="6"/>
  <c r="V26" i="6"/>
  <c r="V25" i="6"/>
  <c r="V24" i="6"/>
  <c r="V23" i="6"/>
  <c r="V22" i="6"/>
  <c r="V18" i="6"/>
  <c r="V21" i="6"/>
  <c r="V17" i="6"/>
  <c r="V14" i="6"/>
  <c r="V13" i="6"/>
  <c r="L32" i="6"/>
  <c r="L31" i="6"/>
  <c r="L22" i="6"/>
  <c r="L29" i="6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0" i="1"/>
  <c r="H31" i="1"/>
  <c r="H32" i="1"/>
  <c r="L26" i="6"/>
  <c r="AJ26" i="6" s="1"/>
  <c r="L28" i="6"/>
  <c r="L25" i="6"/>
  <c r="L23" i="6"/>
  <c r="L24" i="6"/>
  <c r="L21" i="6"/>
  <c r="L18" i="6"/>
  <c r="L17" i="6"/>
  <c r="L14" i="6"/>
  <c r="L13" i="6"/>
  <c r="B32" i="6"/>
  <c r="B31" i="6"/>
  <c r="B29" i="6"/>
  <c r="AJ29" i="6" s="1"/>
  <c r="B26" i="6"/>
  <c r="B25" i="6"/>
  <c r="B24" i="6"/>
  <c r="B22" i="6"/>
  <c r="AJ22" i="6" s="1"/>
  <c r="B23" i="6"/>
  <c r="B21" i="6"/>
  <c r="B18" i="6"/>
  <c r="B17" i="6"/>
  <c r="B14" i="6"/>
  <c r="AJ31" i="6"/>
  <c r="AJ25" i="6"/>
  <c r="AI14" i="6"/>
  <c r="AJ24" i="6"/>
  <c r="AH24" i="6"/>
  <c r="AI17" i="6"/>
  <c r="AI31" i="6"/>
  <c r="AI32" i="6"/>
  <c r="AI18" i="6"/>
  <c r="AI22" i="6"/>
  <c r="AI23" i="6"/>
  <c r="AI26" i="6"/>
  <c r="AI13" i="6"/>
  <c r="AI25" i="6"/>
  <c r="AI21" i="6"/>
  <c r="AI28" i="6"/>
  <c r="AI24" i="6"/>
  <c r="AQ29" i="6"/>
  <c r="AQ25" i="6"/>
  <c r="C52" i="6"/>
  <c r="AH21" i="6"/>
  <c r="AH22" i="6"/>
  <c r="AH23" i="6"/>
  <c r="AH25" i="6"/>
  <c r="AH28" i="6"/>
  <c r="AH29" i="6"/>
  <c r="AH13" i="6"/>
  <c r="Y33" i="6"/>
  <c r="V35" i="6"/>
  <c r="V29" i="6"/>
  <c r="L35" i="6"/>
  <c r="AF29" i="6"/>
  <c r="B35" i="6"/>
  <c r="AI29" i="6"/>
  <c r="B62" i="6"/>
  <c r="C61" i="6"/>
  <c r="D61" i="6" s="1"/>
  <c r="C60" i="6"/>
  <c r="D60" i="6" s="1"/>
  <c r="C59" i="6"/>
  <c r="D59" i="6" s="1"/>
  <c r="C58" i="6"/>
  <c r="D58" i="6" s="1"/>
  <c r="C57" i="6"/>
  <c r="D57" i="6"/>
  <c r="C56" i="6"/>
  <c r="D56" i="6" s="1"/>
  <c r="C55" i="6"/>
  <c r="D55" i="6" s="1"/>
  <c r="C54" i="6"/>
  <c r="D54" i="6" s="1"/>
  <c r="C53" i="6"/>
  <c r="D53" i="6" s="1"/>
  <c r="D52" i="6"/>
  <c r="C51" i="6"/>
  <c r="D51" i="6" s="1"/>
  <c r="C50" i="6"/>
  <c r="D50" i="6" s="1"/>
  <c r="C49" i="6"/>
  <c r="D49" i="6" s="1"/>
  <c r="C48" i="6"/>
  <c r="D48" i="6"/>
  <c r="C47" i="6"/>
  <c r="D47" i="6" s="1"/>
  <c r="C46" i="6"/>
  <c r="D46" i="6" s="1"/>
  <c r="C45" i="6"/>
  <c r="D45" i="6" s="1"/>
  <c r="C44" i="6"/>
  <c r="D44" i="6"/>
  <c r="C43" i="6"/>
  <c r="D43" i="6" s="1"/>
  <c r="C42" i="6"/>
  <c r="D42" i="6"/>
  <c r="C41" i="6"/>
  <c r="D41" i="6" s="1"/>
  <c r="C40" i="6"/>
  <c r="AQ24" i="6"/>
  <c r="AR24" i="6" s="1"/>
  <c r="AQ32" i="6"/>
  <c r="AR32" i="6" s="1"/>
  <c r="AQ31" i="6"/>
  <c r="AR31" i="6" s="1"/>
  <c r="AQ28" i="6"/>
  <c r="AR28" i="6"/>
  <c r="AR26" i="6"/>
  <c r="AQ22" i="6"/>
  <c r="AR22" i="6" s="1"/>
  <c r="AQ21" i="6"/>
  <c r="AR21" i="6" s="1"/>
  <c r="AQ18" i="6"/>
  <c r="AR18" i="6"/>
  <c r="AQ17" i="6"/>
  <c r="AR17" i="6" s="1"/>
  <c r="AQ14" i="6"/>
  <c r="AR14" i="6"/>
  <c r="AQ13" i="6"/>
  <c r="AR13" i="6" s="1"/>
  <c r="AF31" i="6"/>
  <c r="AG32" i="6"/>
  <c r="AF32" i="6"/>
  <c r="AG31" i="6"/>
  <c r="AG14" i="6"/>
  <c r="AG17" i="6"/>
  <c r="AG18" i="6"/>
  <c r="AG21" i="6"/>
  <c r="AG22" i="6"/>
  <c r="AG23" i="6"/>
  <c r="AG26" i="6"/>
  <c r="AG28" i="6"/>
  <c r="AG13" i="6"/>
  <c r="AF14" i="6"/>
  <c r="AF17" i="6"/>
  <c r="AF18" i="6"/>
  <c r="AF21" i="6"/>
  <c r="AF22" i="6"/>
  <c r="AF23" i="6"/>
  <c r="AF24" i="6"/>
  <c r="AF26" i="6"/>
  <c r="AF28" i="6"/>
  <c r="AF13" i="6"/>
  <c r="X33" i="6"/>
  <c r="W33" i="6"/>
  <c r="N33" i="6"/>
  <c r="M33" i="6"/>
  <c r="D33" i="6"/>
  <c r="C33" i="6"/>
  <c r="D7" i="4"/>
  <c r="C21" i="4"/>
  <c r="A27" i="4"/>
  <c r="A22" i="4"/>
  <c r="A23" i="4"/>
  <c r="A24" i="4"/>
  <c r="A25" i="4"/>
  <c r="A26" i="4"/>
  <c r="B21" i="4"/>
  <c r="A21" i="4"/>
  <c r="F18" i="3"/>
  <c r="E17" i="4" s="1"/>
  <c r="F17" i="3"/>
  <c r="E16" i="4" s="1"/>
  <c r="F16" i="3"/>
  <c r="E15" i="4" s="1"/>
  <c r="F15" i="3"/>
  <c r="E14" i="4" s="1"/>
  <c r="B26" i="4"/>
  <c r="E7" i="4"/>
  <c r="K4" i="4"/>
  <c r="L4" i="4"/>
  <c r="M4" i="4"/>
  <c r="K5" i="4"/>
  <c r="L5" i="4"/>
  <c r="M5" i="4"/>
  <c r="L3" i="4"/>
  <c r="M3" i="4"/>
  <c r="K3" i="4"/>
  <c r="H4" i="4"/>
  <c r="I4" i="4"/>
  <c r="J4" i="4"/>
  <c r="H5" i="4"/>
  <c r="I5" i="4"/>
  <c r="J5" i="4"/>
  <c r="I3" i="4"/>
  <c r="J3" i="4"/>
  <c r="H3" i="4"/>
  <c r="E4" i="4"/>
  <c r="F4" i="4"/>
  <c r="G4" i="4"/>
  <c r="E5" i="4"/>
  <c r="F5" i="4"/>
  <c r="G5" i="4"/>
  <c r="F3" i="4"/>
  <c r="G3" i="4"/>
  <c r="E3" i="4"/>
  <c r="C3" i="4"/>
  <c r="D3" i="4"/>
  <c r="B5" i="4"/>
  <c r="C5" i="4"/>
  <c r="D5" i="4"/>
  <c r="B4" i="4"/>
  <c r="C4" i="4"/>
  <c r="A2" i="4"/>
  <c r="A3" i="4"/>
  <c r="B3" i="4"/>
  <c r="A4" i="4"/>
  <c r="D4" i="4"/>
  <c r="A5" i="4"/>
  <c r="H7" i="4"/>
  <c r="I7" i="4"/>
  <c r="J7" i="4"/>
  <c r="K7" i="4"/>
  <c r="L7" i="4"/>
  <c r="M7" i="4"/>
  <c r="A9" i="4"/>
  <c r="A10" i="4"/>
  <c r="A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A1" i="4"/>
  <c r="E18" i="3"/>
  <c r="D17" i="4" s="1"/>
  <c r="E17" i="3"/>
  <c r="D16" i="4" s="1"/>
  <c r="E16" i="3"/>
  <c r="D15" i="4" s="1"/>
  <c r="E15" i="3"/>
  <c r="D14" i="4" s="1"/>
  <c r="D19" i="3"/>
  <c r="C18" i="4" s="1"/>
  <c r="F15" i="4"/>
  <c r="F17" i="4"/>
  <c r="F16" i="4"/>
  <c r="F14" i="4"/>
  <c r="D37" i="3"/>
  <c r="C25" i="4" s="1"/>
  <c r="D35" i="3"/>
  <c r="C23" i="4" s="1"/>
  <c r="D38" i="3"/>
  <c r="C26" i="4" s="1"/>
  <c r="D36" i="3"/>
  <c r="C24" i="4" s="1"/>
  <c r="D34" i="3"/>
  <c r="C22" i="4" s="1"/>
  <c r="F18" i="4"/>
  <c r="D30" i="3"/>
  <c r="C30" i="3"/>
  <c r="C7" i="4"/>
  <c r="B7" i="4"/>
  <c r="AH31" i="6"/>
  <c r="AH32" i="6"/>
  <c r="E30" i="3"/>
  <c r="B22" i="4"/>
  <c r="E37" i="3" l="1"/>
  <c r="N27" i="3" s="1"/>
  <c r="C90" i="3"/>
  <c r="AK33" i="6"/>
  <c r="AO26" i="6"/>
  <c r="AO31" i="6"/>
  <c r="C62" i="6"/>
  <c r="AO24" i="6"/>
  <c r="AO25" i="6"/>
  <c r="AO20" i="6"/>
  <c r="AI33" i="6"/>
  <c r="AO19" i="6"/>
  <c r="AF33" i="6"/>
  <c r="D40" i="6"/>
  <c r="D62" i="6" s="1"/>
  <c r="AO29" i="6"/>
  <c r="AO22" i="6"/>
  <c r="AG33" i="6"/>
  <c r="B23" i="4"/>
  <c r="B24" i="4"/>
  <c r="E35" i="3"/>
  <c r="F25" i="3" s="1"/>
  <c r="C100" i="3"/>
  <c r="E19" i="3"/>
  <c r="D18" i="4" s="1"/>
  <c r="F19" i="3"/>
  <c r="E18" i="4" s="1"/>
  <c r="E36" i="3"/>
  <c r="C111" i="3"/>
  <c r="J27" i="3"/>
  <c r="E34" i="3"/>
  <c r="F27" i="3"/>
  <c r="E38" i="3"/>
  <c r="A45" i="3"/>
  <c r="A48" i="3" s="1"/>
  <c r="B30" i="3"/>
  <c r="B46" i="3" s="1"/>
  <c r="D39" i="3"/>
  <c r="C27" i="4" s="1"/>
  <c r="B6" i="3"/>
  <c r="AJ18" i="6"/>
  <c r="AO18" i="6" s="1"/>
  <c r="AJ13" i="6"/>
  <c r="AO13" i="6" s="1"/>
  <c r="AJ21" i="6"/>
  <c r="AO21" i="6" s="1"/>
  <c r="AJ32" i="6"/>
  <c r="AO32" i="6" s="1"/>
  <c r="AJ23" i="6"/>
  <c r="AO23" i="6" s="1"/>
  <c r="V33" i="6"/>
  <c r="AJ16" i="6"/>
  <c r="AO16" i="6" s="1"/>
  <c r="L33" i="6"/>
  <c r="AH33" i="6"/>
  <c r="AJ14" i="6"/>
  <c r="AO14" i="6" s="1"/>
  <c r="AJ27" i="6"/>
  <c r="AO27" i="6" s="1"/>
  <c r="AJ17" i="6"/>
  <c r="AO17" i="6" s="1"/>
  <c r="AJ15" i="6"/>
  <c r="AO15" i="6" s="1"/>
  <c r="AA33" i="6"/>
  <c r="Q33" i="6"/>
  <c r="B33" i="6"/>
  <c r="AO35" i="6"/>
  <c r="B16" i="2"/>
  <c r="G33" i="6"/>
  <c r="AJ28" i="6"/>
  <c r="AO28" i="6" s="1"/>
  <c r="N25" i="3" l="1"/>
  <c r="R27" i="3"/>
  <c r="J25" i="3"/>
  <c r="R25" i="3"/>
  <c r="AO33" i="6"/>
  <c r="B44" i="3"/>
  <c r="B42" i="3"/>
  <c r="J26" i="3"/>
  <c r="R26" i="3"/>
  <c r="F26" i="3"/>
  <c r="N26" i="3"/>
  <c r="B45" i="3"/>
  <c r="F24" i="3"/>
  <c r="E39" i="3"/>
  <c r="R24" i="3"/>
  <c r="N24" i="3"/>
  <c r="J24" i="3"/>
  <c r="B43" i="3"/>
  <c r="B27" i="4"/>
  <c r="J28" i="3"/>
  <c r="F28" i="3"/>
  <c r="N28" i="3"/>
  <c r="R28" i="3"/>
  <c r="AJ33" i="6"/>
  <c r="B48" i="3" l="1"/>
  <c r="F30" i="3"/>
  <c r="J30" i="3"/>
  <c r="R30" i="3"/>
  <c r="N30" i="3"/>
</calcChain>
</file>

<file path=xl/sharedStrings.xml><?xml version="1.0" encoding="utf-8"?>
<sst xmlns="http://schemas.openxmlformats.org/spreadsheetml/2006/main" count="388" uniqueCount="250">
  <si>
    <t>Champion</t>
  </si>
  <si>
    <t xml:space="preserve">Organisation </t>
  </si>
  <si>
    <t xml:space="preserve">Olena Batista  </t>
  </si>
  <si>
    <t>Louise Garner</t>
  </si>
  <si>
    <t>Ormiston Families</t>
  </si>
  <si>
    <t>Sarah Morris</t>
  </si>
  <si>
    <t>Cambs &amp; Peterborough NHS Trust</t>
  </si>
  <si>
    <t>Stefanie Hayes</t>
  </si>
  <si>
    <t>CHS - Fenland YPS</t>
  </si>
  <si>
    <t>Samantha Vaughan</t>
  </si>
  <si>
    <t xml:space="preserve">East Cambs District Council </t>
  </si>
  <si>
    <t>R Greenfield</t>
  </si>
  <si>
    <t>CHS - East Cambs Floating Support</t>
  </si>
  <si>
    <t>Karen Wells</t>
  </si>
  <si>
    <t>Red2Green</t>
  </si>
  <si>
    <t>Linda Hart</t>
  </si>
  <si>
    <t xml:space="preserve">Hunts District Council </t>
  </si>
  <si>
    <t>Richard Hutcheson</t>
  </si>
  <si>
    <t xml:space="preserve">Axiom Housing Association </t>
  </si>
  <si>
    <t>Sarva Babla</t>
  </si>
  <si>
    <t>John Huntingdon's Charity</t>
  </si>
  <si>
    <t>Sarah Young</t>
  </si>
  <si>
    <t>CHS - Young Parent's Project</t>
  </si>
  <si>
    <t>Emma Hooton</t>
  </si>
  <si>
    <t>Cambridge Cyrennians</t>
  </si>
  <si>
    <t xml:space="preserve">Carol Hopkinson </t>
  </si>
  <si>
    <t>CHS - Money Matters Team</t>
  </si>
  <si>
    <t>Michael Chouler</t>
  </si>
  <si>
    <t>Inclusion Drug &amp; Alcohol service</t>
  </si>
  <si>
    <t>Alison Nolan</t>
  </si>
  <si>
    <t>Wintercomfort</t>
  </si>
  <si>
    <t>Diana Mins</t>
  </si>
  <si>
    <t xml:space="preserve">Cambridge Women's Resource Centre - Dawn Project </t>
  </si>
  <si>
    <t>Sarah-Jayne Goakes</t>
  </si>
  <si>
    <t xml:space="preserve">Circle Housing </t>
  </si>
  <si>
    <t xml:space="preserve">Uloma Onwukeme </t>
  </si>
  <si>
    <t xml:space="preserve">Accent Housing </t>
  </si>
  <si>
    <t>BPHA - Bedford Pilgrims Housing Association</t>
  </si>
  <si>
    <t>Suleman Salim</t>
  </si>
  <si>
    <t>Ely Young People's Project</t>
  </si>
  <si>
    <t>Green Goods</t>
  </si>
  <si>
    <t>Supermarket Vouchers</t>
  </si>
  <si>
    <t>Rural Cambs CAB</t>
  </si>
  <si>
    <t>Total no of awards</t>
  </si>
  <si>
    <t>Total value of awards</t>
  </si>
  <si>
    <t>Total per Champion</t>
  </si>
  <si>
    <t xml:space="preserve">Awards by CLAS Champion and Type  </t>
  </si>
  <si>
    <t>Helen Spriggs</t>
  </si>
  <si>
    <t>Cambridge &amp; District CAB</t>
  </si>
  <si>
    <t xml:space="preserve">Affinity Sutton </t>
  </si>
  <si>
    <t>Lorraine Payne</t>
  </si>
  <si>
    <t>Olena.Batista@circle.org.uk</t>
  </si>
  <si>
    <t>07909 878 326</t>
  </si>
  <si>
    <t xml:space="preserve">louise.garner@ormistonfamilies.org.uk </t>
  </si>
  <si>
    <t>07825 166 844</t>
  </si>
  <si>
    <t xml:space="preserve">sarah.morris@cpft.nhs.uk </t>
  </si>
  <si>
    <t>07949 079 075</t>
  </si>
  <si>
    <t xml:space="preserve">karen.wells@red2green.org </t>
  </si>
  <si>
    <t>07827 966 367</t>
  </si>
  <si>
    <t>linda.hart@huntingdonshire.gov.uk</t>
  </si>
  <si>
    <t>01480 388 229</t>
  </si>
  <si>
    <t>Richard.Hutcheson@axiomha.org.uk</t>
  </si>
  <si>
    <t>Sarva@johnhuntingdon.org.uk</t>
  </si>
  <si>
    <t>01223 492 492</t>
  </si>
  <si>
    <t xml:space="preserve">emma@cambridgecyrenians.org.uk </t>
  </si>
  <si>
    <t>01223 712 502</t>
  </si>
  <si>
    <t xml:space="preserve">Carol.Hopkinson@chsgroup.org.uk </t>
  </si>
  <si>
    <t>01223 713 746</t>
  </si>
  <si>
    <t>alisonnolan@wintercomfort.org.uk</t>
  </si>
  <si>
    <t xml:space="preserve">sarah-jayne.goakes@circle.org.uk </t>
  </si>
  <si>
    <t xml:space="preserve">07825 659 259 </t>
  </si>
  <si>
    <t xml:space="preserve">Annette.Pacey@bpha.org.uk </t>
  </si>
  <si>
    <t>03301 000 272</t>
  </si>
  <si>
    <t>Lorrainep@cambridgecab.org.uk</t>
  </si>
  <si>
    <t>01223 222 671</t>
  </si>
  <si>
    <t>helens@ruralcambscab.org.uk</t>
  </si>
  <si>
    <t xml:space="preserve">07506 941 174 </t>
  </si>
  <si>
    <t>sam.vaughan@eastcambs.gov.uk</t>
  </si>
  <si>
    <t>07824 623 406</t>
  </si>
  <si>
    <t xml:space="preserve">Stefanie.Heyes@chsgroup.org.uk </t>
  </si>
  <si>
    <t>01945 474616</t>
  </si>
  <si>
    <t xml:space="preserve">Sarah.Young@chsgroup.org.uk </t>
  </si>
  <si>
    <t>diana@cwrc.org.uk</t>
  </si>
  <si>
    <t xml:space="preserve">Rachel.Greenfield@chsgroup.org.uk </t>
  </si>
  <si>
    <t>Sule.Salim@chsgroup.org.uk</t>
  </si>
  <si>
    <t>Total number of awards</t>
  </si>
  <si>
    <t>CAB Champions</t>
  </si>
  <si>
    <t>Christiane Barker</t>
  </si>
  <si>
    <t>Cummulative figures</t>
  </si>
  <si>
    <t>Numbers and value of Awards on a monthly basis</t>
  </si>
  <si>
    <t>Supermarket vouchers</t>
  </si>
  <si>
    <t>White Goods</t>
  </si>
  <si>
    <t>Total</t>
  </si>
  <si>
    <t>Cambridge City</t>
  </si>
  <si>
    <t>South Cambs</t>
  </si>
  <si>
    <t>Fenland</t>
  </si>
  <si>
    <t>East Cambs</t>
  </si>
  <si>
    <t>Hunts</t>
  </si>
  <si>
    <t xml:space="preserve">Total </t>
  </si>
  <si>
    <t xml:space="preserve">Award Type </t>
  </si>
  <si>
    <t>Geographical Distribution</t>
  </si>
  <si>
    <t xml:space="preserve">Hunts </t>
  </si>
  <si>
    <t>Allocation of resources</t>
  </si>
  <si>
    <t>Geographical allocations</t>
  </si>
  <si>
    <t xml:space="preserve">Awards - Annual target </t>
  </si>
  <si>
    <t>Awards - Qtr target</t>
  </si>
  <si>
    <t xml:space="preserve">Totals </t>
  </si>
  <si>
    <t>Type of awards</t>
  </si>
  <si>
    <t>% of total budget</t>
  </si>
  <si>
    <t>Amount</t>
  </si>
  <si>
    <t>New Goods - All cookers &amp; some mattresses</t>
  </si>
  <si>
    <t xml:space="preserve">Green goods - recycled white goods &amp; furniture </t>
  </si>
  <si>
    <t>Recycled paints</t>
  </si>
  <si>
    <t>Supermarket vouchers (food &amp; clothing)</t>
  </si>
  <si>
    <t>Total CLAS budget for awards</t>
  </si>
  <si>
    <t>Awards annual target</t>
  </si>
  <si>
    <t>Awards per type of award</t>
  </si>
  <si>
    <t>Awards qtr target</t>
  </si>
  <si>
    <t>Awards - Actual figures</t>
  </si>
  <si>
    <t>Awards - Assumptions</t>
  </si>
  <si>
    <t>Awards per Geographical locations - Actual figures</t>
  </si>
  <si>
    <t>Awards per Geographical locations - Assumptions</t>
  </si>
  <si>
    <t>July Actual</t>
  </si>
  <si>
    <t xml:space="preserve">August Actual </t>
  </si>
  <si>
    <t>Sept Actual</t>
  </si>
  <si>
    <t>Qtr 1 Target</t>
  </si>
  <si>
    <t>Qtr 2 Target</t>
  </si>
  <si>
    <t>Qtr 3 Target</t>
  </si>
  <si>
    <t>Oct Actual</t>
  </si>
  <si>
    <t>Nov Actual</t>
  </si>
  <si>
    <t>Dec Actual</t>
  </si>
  <si>
    <t>Qtr 4 Target</t>
  </si>
  <si>
    <t>Jan 18 Actual</t>
  </si>
  <si>
    <t>Feb 18 Actual</t>
  </si>
  <si>
    <t>TOTAL</t>
  </si>
  <si>
    <t>Target 41 per month</t>
  </si>
  <si>
    <t>Mar 18 Actual</t>
  </si>
  <si>
    <t>Totals so far</t>
  </si>
  <si>
    <t>totals so far</t>
  </si>
  <si>
    <t>Green Goods total</t>
  </si>
  <si>
    <t xml:space="preserve">New White Goods total </t>
  </si>
  <si>
    <t>Supermarket Vouchers total</t>
  </si>
  <si>
    <t xml:space="preserve">Total April </t>
  </si>
  <si>
    <t>Total May</t>
  </si>
  <si>
    <t>Camb CAB</t>
  </si>
  <si>
    <t>Rural CAB</t>
  </si>
  <si>
    <t>Olena Batista</t>
  </si>
  <si>
    <t xml:space="preserve">Linda Hart </t>
  </si>
  <si>
    <t xml:space="preserve">Richard Hutcheson </t>
  </si>
  <si>
    <t xml:space="preserve">Emma Hooton </t>
  </si>
  <si>
    <t>Uloma Onwukeme</t>
  </si>
  <si>
    <t xml:space="preserve">Annette Pacey </t>
  </si>
  <si>
    <t>Stefanie Heyes</t>
  </si>
  <si>
    <t>Diana Minns</t>
  </si>
  <si>
    <t>Rachel Greenfield</t>
  </si>
  <si>
    <t>Allocation</t>
  </si>
  <si>
    <t>Annual target</t>
  </si>
  <si>
    <t>Monthly target</t>
  </si>
  <si>
    <t xml:space="preserve">Totals: </t>
  </si>
  <si>
    <t>All Champions</t>
  </si>
  <si>
    <t>Yrly target</t>
  </si>
  <si>
    <t>monthly target</t>
  </si>
  <si>
    <t>Table 2</t>
  </si>
  <si>
    <t xml:space="preserve">Table 1 </t>
  </si>
  <si>
    <t>Christiane Barker/Lorraine Payne</t>
  </si>
  <si>
    <t>Total June</t>
  </si>
  <si>
    <t>(30 referrals to support services from April to June 2017 - some clients have been referred to more than one service)</t>
  </si>
  <si>
    <t xml:space="preserve">Ashley Mattin </t>
  </si>
  <si>
    <t xml:space="preserve">Sarah Morris </t>
  </si>
  <si>
    <t>Ashley Mattin</t>
  </si>
  <si>
    <t>Stef Hayes</t>
  </si>
  <si>
    <t>Total July</t>
  </si>
  <si>
    <t>Total August</t>
  </si>
  <si>
    <t>Before you update "Total Awards" total</t>
  </si>
  <si>
    <t>1) Select last month row.</t>
  </si>
  <si>
    <t>2) Control C to copy</t>
  </si>
  <si>
    <t>3) Select Paste drop down arrow</t>
  </si>
  <si>
    <t>4) Select "Paste Values"</t>
  </si>
  <si>
    <t>5) Update formula for new month</t>
  </si>
  <si>
    <t>6)  Copy to rest of row</t>
  </si>
  <si>
    <t>7) Update "Total Awards" total</t>
  </si>
  <si>
    <t>Average value per award</t>
  </si>
  <si>
    <t>Green Goods total includes paint awards</t>
  </si>
  <si>
    <t>% of total budget spent todate</t>
  </si>
  <si>
    <t>Total Sept</t>
  </si>
  <si>
    <t xml:space="preserve">New  Goods </t>
  </si>
  <si>
    <t xml:space="preserve">Nos </t>
  </si>
  <si>
    <t>%</t>
  </si>
  <si>
    <t>Nos</t>
  </si>
  <si>
    <t>Referrals &amp; Signposts to other support services Qtr 1</t>
  </si>
  <si>
    <t>Referrals &amp; Signposts to other support services Qtr 2</t>
  </si>
  <si>
    <t>% Distribution of awards  Qtr 1</t>
  </si>
  <si>
    <t>% Distribution of awards (cummulative)</t>
  </si>
  <si>
    <t xml:space="preserve">(47 referrals to support services from July to August 2017 - some clients have been referred to more than one service) </t>
  </si>
  <si>
    <t>Data from Charity Log</t>
  </si>
  <si>
    <t xml:space="preserve">Average no of awards per month </t>
  </si>
  <si>
    <t>R Greenfield/Kevin Scanlon</t>
  </si>
  <si>
    <t>Total Oct</t>
  </si>
  <si>
    <t>Total Nov</t>
  </si>
  <si>
    <t>Total Dec</t>
  </si>
  <si>
    <t>Referrals &amp; Signposts to other support services Qtr 3</t>
  </si>
  <si>
    <t>Qtr 3</t>
  </si>
  <si>
    <t>Referrals &amp; Signposts to other support services cummulative</t>
  </si>
  <si>
    <t>Qtr 1</t>
  </si>
  <si>
    <t>Qtr 2</t>
  </si>
  <si>
    <t>Wait for the summaries spreadsheet to reconcile</t>
  </si>
  <si>
    <t xml:space="preserve">225 needs to be </t>
  </si>
  <si>
    <t>Qtr 4</t>
  </si>
  <si>
    <t>Referrals &amp; Signposts to other support services Qtr 4</t>
  </si>
  <si>
    <t>(58 referrals to support services from Sept to December 2017 - some clients have been referred to more than one service)</t>
  </si>
  <si>
    <t>(24 referrals to support services from Jan to March 2018 - some clients have been referred to more than one service)</t>
  </si>
  <si>
    <t xml:space="preserve">Number of people referred to other services for extra support </t>
  </si>
  <si>
    <t xml:space="preserve">Performance against target spend </t>
  </si>
  <si>
    <t xml:space="preserve">Target % </t>
  </si>
  <si>
    <t>Count of Item Group</t>
  </si>
  <si>
    <t>Sum of Cost of Item</t>
  </si>
  <si>
    <t>Bed</t>
  </si>
  <si>
    <t>Cooker</t>
  </si>
  <si>
    <t>Delivery</t>
  </si>
  <si>
    <t>Fridge/Freezer</t>
  </si>
  <si>
    <t>Mattress</t>
  </si>
  <si>
    <t>Microwave</t>
  </si>
  <si>
    <t>Other furniture</t>
  </si>
  <si>
    <t>Sofa</t>
  </si>
  <si>
    <t>Wardrobe</t>
  </si>
  <si>
    <t>Washing machine</t>
  </si>
  <si>
    <t>Items</t>
  </si>
  <si>
    <t>List of recyled items awarded2017/2018</t>
  </si>
  <si>
    <t>Paint awards</t>
  </si>
  <si>
    <t xml:space="preserve">Grand total </t>
  </si>
  <si>
    <t>New Goods</t>
  </si>
  <si>
    <t>Totals</t>
  </si>
  <si>
    <t>Numbers</t>
  </si>
  <si>
    <t xml:space="preserve">Value </t>
  </si>
  <si>
    <t>SV</t>
  </si>
  <si>
    <t>Total budget allocated to Champions 18/19</t>
  </si>
  <si>
    <t xml:space="preserve">Liz Tierney </t>
  </si>
  <si>
    <t>Vicki Morris</t>
  </si>
  <si>
    <t>Sanctuary Housing</t>
  </si>
  <si>
    <t>April 18 Actual</t>
  </si>
  <si>
    <t>May 18 Actual</t>
  </si>
  <si>
    <t>June 18 Actual</t>
  </si>
  <si>
    <t>`</t>
  </si>
  <si>
    <t xml:space="preserve">plus carried forward balances 17/18 </t>
  </si>
  <si>
    <t>Total 18/19</t>
  </si>
  <si>
    <t>545 awards - maximum £250 per awards = total of £136254 for all awards</t>
  </si>
  <si>
    <t>Paint</t>
  </si>
  <si>
    <t>New</t>
  </si>
  <si>
    <t>GG</t>
  </si>
  <si>
    <t>Qtrly spend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</si>
</sst>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  <numFmt numFmtId="166" formatCode="0.0%"/>
  </numFmts>
  <fonts count="13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ourier New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</cellStyleXfs>
  <cellXfs count="387">
    <xf numFmtId="0" fontId="0" fillId="0" borderId="0" xfId="0"/>
    <xf numFmtId="0" fontId="0" fillId="0" borderId="4" xfId="0" applyBorder="1"/>
    <xf numFmtId="0" fontId="1" fillId="0" borderId="0" xfId="0" applyFont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2" borderId="11" xfId="0" applyFont="1" applyFill="1" applyBorder="1"/>
    <xf numFmtId="16" fontId="3" fillId="2" borderId="11" xfId="0" applyNumberFormat="1" applyFont="1" applyFill="1" applyBorder="1"/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/>
    <xf numFmtId="0" fontId="3" fillId="0" borderId="13" xfId="0" applyFont="1" applyFill="1" applyBorder="1"/>
    <xf numFmtId="0" fontId="3" fillId="0" borderId="15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10" xfId="0" applyFont="1" applyBorder="1"/>
    <xf numFmtId="0" fontId="3" fillId="0" borderId="12" xfId="0" applyFont="1" applyBorder="1"/>
    <xf numFmtId="0" fontId="0" fillId="3" borderId="6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8" xfId="0" applyFont="1" applyBorder="1"/>
    <xf numFmtId="0" fontId="5" fillId="0" borderId="0" xfId="1" applyBorder="1"/>
    <xf numFmtId="0" fontId="0" fillId="3" borderId="1" xfId="0" applyFill="1" applyBorder="1"/>
    <xf numFmtId="0" fontId="1" fillId="0" borderId="4" xfId="0" applyFont="1" applyBorder="1"/>
    <xf numFmtId="17" fontId="1" fillId="3" borderId="4" xfId="0" applyNumberFormat="1" applyFont="1" applyFill="1" applyBorder="1"/>
    <xf numFmtId="44" fontId="0" fillId="0" borderId="4" xfId="2" applyFont="1" applyBorder="1"/>
    <xf numFmtId="0" fontId="1" fillId="3" borderId="4" xfId="0" applyFont="1" applyFill="1" applyBorder="1"/>
    <xf numFmtId="0" fontId="0" fillId="3" borderId="4" xfId="0" applyFill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5" fillId="0" borderId="19" xfId="1" applyBorder="1"/>
    <xf numFmtId="6" fontId="0" fillId="0" borderId="4" xfId="2" applyNumberFormat="1" applyFont="1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3" xfId="0" applyFont="1" applyBorder="1"/>
    <xf numFmtId="0" fontId="1" fillId="0" borderId="24" xfId="0" applyFont="1" applyBorder="1"/>
    <xf numFmtId="0" fontId="0" fillId="0" borderId="24" xfId="0" applyBorder="1"/>
    <xf numFmtId="1" fontId="0" fillId="0" borderId="4" xfId="0" applyNumberFormat="1" applyBorder="1"/>
    <xf numFmtId="164" fontId="0" fillId="0" borderId="4" xfId="2" applyNumberFormat="1" applyFont="1" applyBorder="1"/>
    <xf numFmtId="1" fontId="0" fillId="0" borderId="12" xfId="0" applyNumberFormat="1" applyBorder="1"/>
    <xf numFmtId="1" fontId="0" fillId="0" borderId="25" xfId="0" applyNumberFormat="1" applyBorder="1"/>
    <xf numFmtId="0" fontId="7" fillId="0" borderId="0" xfId="0" applyFont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165" fontId="0" fillId="0" borderId="4" xfId="3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0" borderId="4" xfId="0" applyNumberFormat="1" applyBorder="1"/>
    <xf numFmtId="0" fontId="1" fillId="0" borderId="0" xfId="0" applyFont="1" applyFill="1" applyBorder="1"/>
    <xf numFmtId="0" fontId="0" fillId="0" borderId="11" xfId="0" applyBorder="1" applyAlignment="1">
      <alignment wrapText="1"/>
    </xf>
    <xf numFmtId="165" fontId="0" fillId="0" borderId="12" xfId="0" applyNumberFormat="1" applyBorder="1"/>
    <xf numFmtId="0" fontId="0" fillId="0" borderId="13" xfId="0" applyBorder="1" applyAlignment="1">
      <alignment wrapText="1"/>
    </xf>
    <xf numFmtId="166" fontId="0" fillId="0" borderId="5" xfId="0" applyNumberFormat="1" applyBorder="1" applyAlignment="1">
      <alignment horizontal="center"/>
    </xf>
    <xf numFmtId="165" fontId="0" fillId="0" borderId="5" xfId="3" applyNumberFormat="1" applyFont="1" applyBorder="1" applyAlignment="1">
      <alignment horizontal="center"/>
    </xf>
    <xf numFmtId="165" fontId="0" fillId="0" borderId="5" xfId="0" applyNumberFormat="1" applyBorder="1"/>
    <xf numFmtId="165" fontId="0" fillId="0" borderId="14" xfId="0" applyNumberFormat="1" applyBorder="1"/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165" fontId="8" fillId="0" borderId="24" xfId="3" applyNumberFormat="1" applyFont="1" applyBorder="1" applyAlignment="1">
      <alignment horizontal="center"/>
    </xf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0" xfId="0" applyFont="1" applyFill="1" applyBorder="1" applyAlignment="1">
      <alignment wrapText="1"/>
    </xf>
    <xf numFmtId="0" fontId="0" fillId="0" borderId="9" xfId="0" applyBorder="1"/>
    <xf numFmtId="1" fontId="0" fillId="0" borderId="3" xfId="0" applyNumberFormat="1" applyBorder="1"/>
    <xf numFmtId="1" fontId="0" fillId="0" borderId="10" xfId="0" applyNumberFormat="1" applyBorder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19" xfId="0" applyBorder="1"/>
    <xf numFmtId="165" fontId="0" fillId="0" borderId="19" xfId="0" applyNumberFormat="1" applyBorder="1"/>
    <xf numFmtId="165" fontId="0" fillId="0" borderId="27" xfId="0" applyNumberFormat="1" applyBorder="1"/>
    <xf numFmtId="165" fontId="1" fillId="0" borderId="28" xfId="0" applyNumberFormat="1" applyFont="1" applyBorder="1"/>
    <xf numFmtId="0" fontId="1" fillId="0" borderId="0" xfId="0" applyFont="1" applyBorder="1" applyAlignment="1">
      <alignment wrapText="1"/>
    </xf>
    <xf numFmtId="1" fontId="0" fillId="0" borderId="0" xfId="0" applyNumberFormat="1" applyBorder="1"/>
    <xf numFmtId="0" fontId="1" fillId="0" borderId="20" xfId="0" applyFont="1" applyBorder="1" applyAlignment="1">
      <alignment wrapText="1"/>
    </xf>
    <xf numFmtId="17" fontId="1" fillId="0" borderId="21" xfId="0" applyNumberFormat="1" applyFont="1" applyBorder="1" applyAlignment="1">
      <alignment wrapText="1"/>
    </xf>
    <xf numFmtId="0" fontId="1" fillId="0" borderId="28" xfId="0" applyFont="1" applyBorder="1"/>
    <xf numFmtId="165" fontId="0" fillId="0" borderId="4" xfId="0" applyNumberFormat="1" applyBorder="1" applyAlignment="1"/>
    <xf numFmtId="165" fontId="1" fillId="0" borderId="24" xfId="0" applyNumberFormat="1" applyFont="1" applyBorder="1" applyAlignment="1"/>
    <xf numFmtId="9" fontId="0" fillId="0" borderId="0" xfId="4" applyFont="1"/>
    <xf numFmtId="0" fontId="0" fillId="0" borderId="3" xfId="0" applyBorder="1"/>
    <xf numFmtId="165" fontId="0" fillId="0" borderId="3" xfId="0" applyNumberFormat="1" applyBorder="1" applyAlignment="1"/>
    <xf numFmtId="0" fontId="0" fillId="3" borderId="23" xfId="0" applyFont="1" applyFill="1" applyBorder="1" applyAlignment="1">
      <alignment wrapText="1"/>
    </xf>
    <xf numFmtId="17" fontId="0" fillId="3" borderId="24" xfId="0" applyNumberFormat="1" applyFont="1" applyFill="1" applyBorder="1" applyAlignment="1">
      <alignment wrapText="1"/>
    </xf>
    <xf numFmtId="17" fontId="0" fillId="4" borderId="24" xfId="0" applyNumberFormat="1" applyFont="1" applyFill="1" applyBorder="1" applyAlignment="1">
      <alignment wrapText="1"/>
    </xf>
    <xf numFmtId="17" fontId="0" fillId="4" borderId="25" xfId="0" applyNumberFormat="1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3" borderId="23" xfId="0" applyFont="1" applyFill="1" applyBorder="1"/>
    <xf numFmtId="1" fontId="0" fillId="0" borderId="30" xfId="0" applyNumberFormat="1" applyBorder="1"/>
    <xf numFmtId="1" fontId="1" fillId="0" borderId="1" xfId="0" applyNumberFormat="1" applyFont="1" applyBorder="1"/>
    <xf numFmtId="1" fontId="0" fillId="0" borderId="29" xfId="0" applyNumberFormat="1" applyBorder="1"/>
    <xf numFmtId="1" fontId="0" fillId="0" borderId="31" xfId="0" applyNumberFormat="1" applyBorder="1"/>
    <xf numFmtId="1" fontId="0" fillId="0" borderId="32" xfId="0" applyNumberFormat="1" applyBorder="1"/>
    <xf numFmtId="0" fontId="0" fillId="3" borderId="33" xfId="0" applyFont="1" applyFill="1" applyBorder="1" applyAlignment="1">
      <alignment wrapText="1"/>
    </xf>
    <xf numFmtId="0" fontId="0" fillId="0" borderId="7" xfId="0" applyBorder="1"/>
    <xf numFmtId="0" fontId="1" fillId="0" borderId="33" xfId="0" applyFont="1" applyBorder="1"/>
    <xf numFmtId="0" fontId="1" fillId="0" borderId="34" xfId="0" applyFont="1" applyBorder="1"/>
    <xf numFmtId="0" fontId="1" fillId="0" borderId="1" xfId="0" applyFont="1" applyBorder="1"/>
    <xf numFmtId="164" fontId="1" fillId="0" borderId="24" xfId="2" applyNumberFormat="1" applyFont="1" applyBorder="1"/>
    <xf numFmtId="1" fontId="1" fillId="0" borderId="24" xfId="0" applyNumberFormat="1" applyFont="1" applyBorder="1"/>
    <xf numFmtId="1" fontId="1" fillId="0" borderId="25" xfId="0" applyNumberFormat="1" applyFont="1" applyBorder="1"/>
    <xf numFmtId="0" fontId="3" fillId="0" borderId="39" xfId="0" applyFont="1" applyFill="1" applyBorder="1"/>
    <xf numFmtId="0" fontId="3" fillId="0" borderId="36" xfId="0" applyFont="1" applyFill="1" applyBorder="1"/>
    <xf numFmtId="16" fontId="3" fillId="2" borderId="36" xfId="0" applyNumberFormat="1" applyFont="1" applyFill="1" applyBorder="1"/>
    <xf numFmtId="0" fontId="3" fillId="2" borderId="36" xfId="0" applyFont="1" applyFill="1" applyBorder="1"/>
    <xf numFmtId="0" fontId="0" fillId="0" borderId="12" xfId="0" applyFont="1" applyBorder="1"/>
    <xf numFmtId="0" fontId="0" fillId="0" borderId="10" xfId="0" applyFont="1" applyBorder="1"/>
    <xf numFmtId="0" fontId="0" fillId="0" borderId="45" xfId="0" applyFont="1" applyBorder="1"/>
    <xf numFmtId="0" fontId="0" fillId="0" borderId="46" xfId="0" applyFont="1" applyBorder="1"/>
    <xf numFmtId="44" fontId="0" fillId="0" borderId="4" xfId="0" applyNumberFormat="1" applyFont="1" applyBorder="1"/>
    <xf numFmtId="44" fontId="0" fillId="0" borderId="5" xfId="0" applyNumberFormat="1" applyFont="1" applyBorder="1"/>
    <xf numFmtId="1" fontId="0" fillId="0" borderId="5" xfId="0" applyNumberFormat="1" applyBorder="1"/>
    <xf numFmtId="0" fontId="1" fillId="0" borderId="23" xfId="0" applyFont="1" applyFill="1" applyBorder="1"/>
    <xf numFmtId="44" fontId="1" fillId="0" borderId="24" xfId="0" applyNumberFormat="1" applyFont="1" applyBorder="1"/>
    <xf numFmtId="44" fontId="0" fillId="0" borderId="3" xfId="0" applyNumberFormat="1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3" fillId="0" borderId="0" xfId="0" applyFont="1" applyFill="1" applyBorder="1"/>
    <xf numFmtId="0" fontId="0" fillId="0" borderId="48" xfId="0" applyFont="1" applyBorder="1"/>
    <xf numFmtId="0" fontId="0" fillId="0" borderId="0" xfId="0" applyFont="1" applyBorder="1"/>
    <xf numFmtId="0" fontId="2" fillId="3" borderId="2" xfId="0" applyFont="1" applyFill="1" applyBorder="1"/>
    <xf numFmtId="0" fontId="5" fillId="0" borderId="29" xfId="1" applyBorder="1"/>
    <xf numFmtId="16" fontId="5" fillId="0" borderId="19" xfId="1" applyNumberFormat="1" applyBorder="1"/>
    <xf numFmtId="0" fontId="5" fillId="0" borderId="19" xfId="1" applyBorder="1" applyAlignment="1">
      <alignment vertical="center"/>
    </xf>
    <xf numFmtId="0" fontId="0" fillId="0" borderId="49" xfId="0" applyFont="1" applyBorder="1"/>
    <xf numFmtId="0" fontId="0" fillId="0" borderId="15" xfId="0" applyFont="1" applyBorder="1"/>
    <xf numFmtId="1" fontId="1" fillId="0" borderId="0" xfId="0" applyNumberFormat="1" applyFont="1" applyBorder="1"/>
    <xf numFmtId="0" fontId="2" fillId="6" borderId="1" xfId="0" applyFont="1" applyFill="1" applyBorder="1" applyAlignment="1">
      <alignment wrapText="1"/>
    </xf>
    <xf numFmtId="0" fontId="2" fillId="5" borderId="34" xfId="0" applyFont="1" applyFill="1" applyBorder="1"/>
    <xf numFmtId="0" fontId="2" fillId="5" borderId="6" xfId="0" applyFont="1" applyFill="1" applyBorder="1" applyAlignment="1">
      <alignment wrapText="1"/>
    </xf>
    <xf numFmtId="0" fontId="0" fillId="0" borderId="18" xfId="0" applyFont="1" applyBorder="1"/>
    <xf numFmtId="0" fontId="1" fillId="0" borderId="5" xfId="0" applyFont="1" applyBorder="1"/>
    <xf numFmtId="0" fontId="0" fillId="0" borderId="5" xfId="0" applyFont="1" applyBorder="1"/>
    <xf numFmtId="0" fontId="0" fillId="5" borderId="2" xfId="0" applyFont="1" applyFill="1" applyBorder="1"/>
    <xf numFmtId="0" fontId="3" fillId="5" borderId="39" xfId="0" applyFont="1" applyFill="1" applyBorder="1"/>
    <xf numFmtId="0" fontId="0" fillId="5" borderId="3" xfId="0" applyFont="1" applyFill="1" applyBorder="1"/>
    <xf numFmtId="0" fontId="0" fillId="5" borderId="10" xfId="0" applyFont="1" applyFill="1" applyBorder="1"/>
    <xf numFmtId="1" fontId="0" fillId="5" borderId="3" xfId="0" applyNumberFormat="1" applyFill="1" applyBorder="1"/>
    <xf numFmtId="0" fontId="3" fillId="5" borderId="17" xfId="0" applyFont="1" applyFill="1" applyBorder="1"/>
    <xf numFmtId="1" fontId="0" fillId="5" borderId="4" xfId="0" applyNumberFormat="1" applyFill="1" applyBorder="1"/>
    <xf numFmtId="0" fontId="0" fillId="5" borderId="34" xfId="0" applyFont="1" applyFill="1" applyBorder="1"/>
    <xf numFmtId="0" fontId="0" fillId="5" borderId="0" xfId="0" applyFill="1"/>
    <xf numFmtId="0" fontId="0" fillId="5" borderId="0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47" xfId="0" applyFill="1" applyBorder="1"/>
    <xf numFmtId="6" fontId="1" fillId="5" borderId="6" xfId="0" applyNumberFormat="1" applyFont="1" applyFill="1" applyBorder="1"/>
    <xf numFmtId="0" fontId="1" fillId="5" borderId="31" xfId="0" applyFont="1" applyFill="1" applyBorder="1"/>
    <xf numFmtId="0" fontId="0" fillId="5" borderId="31" xfId="0" applyFill="1" applyBorder="1"/>
    <xf numFmtId="17" fontId="2" fillId="5" borderId="1" xfId="0" applyNumberFormat="1" applyFont="1" applyFill="1" applyBorder="1" applyAlignment="1">
      <alignment wrapText="1"/>
    </xf>
    <xf numFmtId="0" fontId="0" fillId="0" borderId="52" xfId="0" applyFont="1" applyBorder="1"/>
    <xf numFmtId="6" fontId="1" fillId="9" borderId="24" xfId="0" applyNumberFormat="1" applyFont="1" applyFill="1" applyBorder="1"/>
    <xf numFmtId="6" fontId="1" fillId="9" borderId="6" xfId="0" applyNumberFormat="1" applyFont="1" applyFill="1" applyBorder="1"/>
    <xf numFmtId="6" fontId="1" fillId="9" borderId="1" xfId="0" applyNumberFormat="1" applyFont="1" applyFill="1" applyBorder="1" applyAlignment="1">
      <alignment horizontal="center"/>
    </xf>
    <xf numFmtId="0" fontId="0" fillId="0" borderId="21" xfId="0" applyFont="1" applyBorder="1"/>
    <xf numFmtId="6" fontId="1" fillId="9" borderId="1" xfId="0" applyNumberFormat="1" applyFont="1" applyFill="1" applyBorder="1"/>
    <xf numFmtId="6" fontId="1" fillId="9" borderId="34" xfId="0" applyNumberFormat="1" applyFont="1" applyFill="1" applyBorder="1"/>
    <xf numFmtId="0" fontId="0" fillId="0" borderId="38" xfId="0" applyFont="1" applyBorder="1"/>
    <xf numFmtId="0" fontId="1" fillId="0" borderId="2" xfId="0" applyFont="1" applyBorder="1"/>
    <xf numFmtId="0" fontId="0" fillId="5" borderId="43" xfId="0" applyFont="1" applyFill="1" applyBorder="1"/>
    <xf numFmtId="0" fontId="0" fillId="5" borderId="53" xfId="0" applyFont="1" applyFill="1" applyBorder="1"/>
    <xf numFmtId="0" fontId="0" fillId="5" borderId="39" xfId="0" applyFont="1" applyFill="1" applyBorder="1"/>
    <xf numFmtId="0" fontId="0" fillId="5" borderId="17" xfId="0" applyFont="1" applyFill="1" applyBorder="1"/>
    <xf numFmtId="0" fontId="0" fillId="0" borderId="19" xfId="0" applyFont="1" applyBorder="1"/>
    <xf numFmtId="0" fontId="0" fillId="0" borderId="27" xfId="0" applyFont="1" applyBorder="1"/>
    <xf numFmtId="17" fontId="2" fillId="5" borderId="6" xfId="0" applyNumberFormat="1" applyFont="1" applyFill="1" applyBorder="1" applyAlignment="1">
      <alignment wrapText="1"/>
    </xf>
    <xf numFmtId="0" fontId="0" fillId="0" borderId="54" xfId="0" applyFont="1" applyBorder="1"/>
    <xf numFmtId="0" fontId="0" fillId="10" borderId="0" xfId="0" applyFill="1"/>
    <xf numFmtId="0" fontId="1" fillId="0" borderId="3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1" fillId="0" borderId="0" xfId="0" applyNumberFormat="1" applyFont="1" applyBorder="1"/>
    <xf numFmtId="9" fontId="0" fillId="0" borderId="0" xfId="0" applyNumberFormat="1"/>
    <xf numFmtId="0" fontId="1" fillId="0" borderId="0" xfId="0" applyFont="1" applyBorder="1" applyAlignment="1">
      <alignment horizontal="left"/>
    </xf>
    <xf numFmtId="164" fontId="1" fillId="0" borderId="0" xfId="2" applyNumberFormat="1" applyFont="1" applyBorder="1"/>
    <xf numFmtId="9" fontId="0" fillId="0" borderId="4" xfId="4" applyFont="1" applyBorder="1"/>
    <xf numFmtId="0" fontId="3" fillId="10" borderId="36" xfId="0" applyFont="1" applyFill="1" applyBorder="1"/>
    <xf numFmtId="0" fontId="1" fillId="0" borderId="0" xfId="0" applyFont="1" applyBorder="1"/>
    <xf numFmtId="0" fontId="3" fillId="11" borderId="36" xfId="0" applyFont="1" applyFill="1" applyBorder="1"/>
    <xf numFmtId="0" fontId="1" fillId="0" borderId="7" xfId="0" applyFont="1" applyBorder="1"/>
    <xf numFmtId="0" fontId="1" fillId="0" borderId="35" xfId="0" applyFont="1" applyBorder="1"/>
    <xf numFmtId="0" fontId="0" fillId="0" borderId="51" xfId="0" applyFont="1" applyBorder="1"/>
    <xf numFmtId="0" fontId="1" fillId="5" borderId="9" xfId="0" applyFont="1" applyFill="1" applyBorder="1"/>
    <xf numFmtId="0" fontId="0" fillId="5" borderId="29" xfId="0" applyFont="1" applyFill="1" applyBorder="1"/>
    <xf numFmtId="0" fontId="0" fillId="0" borderId="2" xfId="0" applyFont="1" applyBorder="1"/>
    <xf numFmtId="0" fontId="2" fillId="7" borderId="1" xfId="0" applyFont="1" applyFill="1" applyBorder="1" applyAlignment="1">
      <alignment wrapText="1"/>
    </xf>
    <xf numFmtId="0" fontId="0" fillId="5" borderId="5" xfId="0" applyFont="1" applyFill="1" applyBorder="1"/>
    <xf numFmtId="0" fontId="0" fillId="0" borderId="29" xfId="0" applyFont="1" applyBorder="1"/>
    <xf numFmtId="43" fontId="0" fillId="0" borderId="8" xfId="3" applyFont="1" applyBorder="1"/>
    <xf numFmtId="44" fontId="0" fillId="0" borderId="8" xfId="0" applyNumberFormat="1" applyFont="1" applyBorder="1"/>
    <xf numFmtId="44" fontId="0" fillId="0" borderId="52" xfId="0" applyNumberFormat="1" applyFont="1" applyBorder="1"/>
    <xf numFmtId="43" fontId="0" fillId="5" borderId="7" xfId="3" applyFont="1" applyFill="1" applyBorder="1"/>
    <xf numFmtId="43" fontId="0" fillId="5" borderId="8" xfId="3" applyFont="1" applyFill="1" applyBorder="1"/>
    <xf numFmtId="0" fontId="1" fillId="7" borderId="6" xfId="0" applyFont="1" applyFill="1" applyBorder="1"/>
    <xf numFmtId="0" fontId="1" fillId="5" borderId="1" xfId="0" applyFont="1" applyFill="1" applyBorder="1"/>
    <xf numFmtId="0" fontId="1" fillId="5" borderId="34" xfId="0" applyFont="1" applyFill="1" applyBorder="1"/>
    <xf numFmtId="0" fontId="1" fillId="5" borderId="13" xfId="0" applyFont="1" applyFill="1" applyBorder="1"/>
    <xf numFmtId="0" fontId="0" fillId="5" borderId="27" xfId="0" applyFont="1" applyFill="1" applyBorder="1"/>
    <xf numFmtId="0" fontId="1" fillId="0" borderId="52" xfId="0" applyFont="1" applyBorder="1"/>
    <xf numFmtId="0" fontId="0" fillId="5" borderId="5" xfId="0" applyFill="1" applyBorder="1"/>
    <xf numFmtId="0" fontId="0" fillId="5" borderId="14" xfId="0" applyFill="1" applyBorder="1"/>
    <xf numFmtId="0" fontId="1" fillId="6" borderId="6" xfId="0" applyFont="1" applyFill="1" applyBorder="1"/>
    <xf numFmtId="0" fontId="1" fillId="6" borderId="2" xfId="0" applyFont="1" applyFill="1" applyBorder="1"/>
    <xf numFmtId="0" fontId="0" fillId="5" borderId="7" xfId="0" applyFont="1" applyFill="1" applyBorder="1"/>
    <xf numFmtId="0" fontId="0" fillId="5" borderId="52" xfId="0" applyFill="1" applyBorder="1"/>
    <xf numFmtId="0" fontId="0" fillId="0" borderId="47" xfId="0" applyFont="1" applyBorder="1"/>
    <xf numFmtId="0" fontId="1" fillId="6" borderId="23" xfId="0" applyFont="1" applyFill="1" applyBorder="1"/>
    <xf numFmtId="0" fontId="1" fillId="6" borderId="24" xfId="0" applyFont="1" applyFill="1" applyBorder="1"/>
    <xf numFmtId="0" fontId="0" fillId="0" borderId="31" xfId="0" applyFont="1" applyBorder="1"/>
    <xf numFmtId="165" fontId="1" fillId="0" borderId="25" xfId="0" applyNumberFormat="1" applyFont="1" applyBorder="1" applyAlignment="1"/>
    <xf numFmtId="8" fontId="0" fillId="0" borderId="4" xfId="0" applyNumberFormat="1" applyBorder="1"/>
    <xf numFmtId="0" fontId="2" fillId="8" borderId="1" xfId="0" applyFont="1" applyFill="1" applyBorder="1" applyAlignment="1">
      <alignment wrapText="1"/>
    </xf>
    <xf numFmtId="17" fontId="2" fillId="8" borderId="1" xfId="0" applyNumberFormat="1" applyFont="1" applyFill="1" applyBorder="1" applyAlignment="1">
      <alignment wrapText="1"/>
    </xf>
    <xf numFmtId="0" fontId="0" fillId="0" borderId="44" xfId="0" applyFont="1" applyBorder="1"/>
    <xf numFmtId="0" fontId="0" fillId="0" borderId="2" xfId="0" applyBorder="1"/>
    <xf numFmtId="0" fontId="0" fillId="0" borderId="6" xfId="0" applyBorder="1"/>
    <xf numFmtId="8" fontId="1" fillId="0" borderId="0" xfId="0" applyNumberFormat="1" applyFont="1"/>
    <xf numFmtId="165" fontId="1" fillId="0" borderId="0" xfId="0" applyNumberFormat="1" applyFont="1" applyBorder="1" applyAlignment="1"/>
    <xf numFmtId="0" fontId="0" fillId="0" borderId="0" xfId="0" applyFill="1" applyBorder="1"/>
    <xf numFmtId="0" fontId="0" fillId="0" borderId="0" xfId="2" applyNumberFormat="1" applyFont="1"/>
    <xf numFmtId="0" fontId="2" fillId="3" borderId="44" xfId="0" applyFont="1" applyFill="1" applyBorder="1"/>
    <xf numFmtId="0" fontId="3" fillId="0" borderId="4" xfId="0" applyFont="1" applyFill="1" applyBorder="1" applyAlignment="1">
      <alignment wrapText="1"/>
    </xf>
    <xf numFmtId="0" fontId="0" fillId="0" borderId="4" xfId="0" applyFill="1" applyBorder="1"/>
    <xf numFmtId="0" fontId="0" fillId="0" borderId="26" xfId="0" applyFont="1" applyBorder="1"/>
    <xf numFmtId="0" fontId="0" fillId="0" borderId="5" xfId="0" applyFill="1" applyBorder="1"/>
    <xf numFmtId="0" fontId="1" fillId="0" borderId="4" xfId="0" applyFont="1" applyBorder="1" applyAlignment="1">
      <alignment wrapText="1"/>
    </xf>
    <xf numFmtId="0" fontId="0" fillId="0" borderId="7" xfId="0" applyFont="1" applyBorder="1"/>
    <xf numFmtId="0" fontId="0" fillId="0" borderId="35" xfId="0" applyFont="1" applyBorder="1"/>
    <xf numFmtId="0" fontId="0" fillId="0" borderId="43" xfId="0" applyFont="1" applyBorder="1"/>
    <xf numFmtId="0" fontId="0" fillId="0" borderId="0" xfId="0" applyFont="1" applyFill="1" applyBorder="1"/>
    <xf numFmtId="0" fontId="0" fillId="0" borderId="40" xfId="0" applyFont="1" applyBorder="1"/>
    <xf numFmtId="0" fontId="0" fillId="5" borderId="7" xfId="0" applyFill="1" applyBorder="1"/>
    <xf numFmtId="0" fontId="0" fillId="5" borderId="35" xfId="0" applyFill="1" applyBorder="1"/>
    <xf numFmtId="0" fontId="0" fillId="5" borderId="3" xfId="0" applyFill="1" applyBorder="1"/>
    <xf numFmtId="0" fontId="0" fillId="5" borderId="4" xfId="0" applyFill="1" applyBorder="1"/>
    <xf numFmtId="9" fontId="1" fillId="0" borderId="4" xfId="0" applyNumberFormat="1" applyFont="1" applyBorder="1"/>
    <xf numFmtId="9" fontId="1" fillId="0" borderId="4" xfId="4" applyFont="1" applyBorder="1"/>
    <xf numFmtId="0" fontId="1" fillId="0" borderId="4" xfId="0" applyFont="1" applyFill="1" applyBorder="1"/>
    <xf numFmtId="9" fontId="1" fillId="0" borderId="0" xfId="0" applyNumberFormat="1" applyFont="1" applyBorder="1"/>
    <xf numFmtId="6" fontId="0" fillId="0" borderId="4" xfId="0" applyNumberFormat="1" applyBorder="1"/>
    <xf numFmtId="14" fontId="0" fillId="0" borderId="0" xfId="0" applyNumberFormat="1"/>
    <xf numFmtId="0" fontId="0" fillId="0" borderId="0" xfId="0" applyBorder="1" applyAlignment="1">
      <alignment wrapText="1"/>
    </xf>
    <xf numFmtId="1" fontId="0" fillId="0" borderId="0" xfId="0" applyNumberFormat="1"/>
    <xf numFmtId="0" fontId="1" fillId="3" borderId="6" xfId="2" applyNumberFormat="1" applyFont="1" applyFill="1" applyBorder="1"/>
    <xf numFmtId="0" fontId="1" fillId="0" borderId="43" xfId="0" applyFont="1" applyBorder="1"/>
    <xf numFmtId="0" fontId="1" fillId="0" borderId="59" xfId="0" applyFont="1" applyBorder="1"/>
    <xf numFmtId="0" fontId="1" fillId="0" borderId="53" xfId="0" applyFont="1" applyBorder="1"/>
    <xf numFmtId="0" fontId="0" fillId="0" borderId="61" xfId="0" applyFont="1" applyBorder="1"/>
    <xf numFmtId="0" fontId="0" fillId="0" borderId="4" xfId="0" applyFont="1" applyFill="1" applyBorder="1"/>
    <xf numFmtId="0" fontId="0" fillId="0" borderId="20" xfId="0" applyFont="1" applyBorder="1"/>
    <xf numFmtId="0" fontId="0" fillId="0" borderId="22" xfId="0" applyFont="1" applyBorder="1"/>
    <xf numFmtId="0" fontId="0" fillId="0" borderId="11" xfId="0" applyFont="1" applyBorder="1"/>
    <xf numFmtId="0" fontId="0" fillId="0" borderId="42" xfId="0" applyFont="1" applyFill="1" applyBorder="1"/>
    <xf numFmtId="0" fontId="0" fillId="0" borderId="40" xfId="0" applyFont="1" applyFill="1" applyBorder="1"/>
    <xf numFmtId="0" fontId="0" fillId="0" borderId="58" xfId="0" applyFont="1" applyFill="1" applyBorder="1"/>
    <xf numFmtId="0" fontId="1" fillId="0" borderId="29" xfId="0" applyFont="1" applyBorder="1"/>
    <xf numFmtId="0" fontId="1" fillId="0" borderId="19" xfId="0" applyFont="1" applyBorder="1"/>
    <xf numFmtId="0" fontId="0" fillId="0" borderId="56" xfId="0" applyFont="1" applyBorder="1"/>
    <xf numFmtId="0" fontId="0" fillId="0" borderId="42" xfId="0" applyFont="1" applyBorder="1"/>
    <xf numFmtId="0" fontId="0" fillId="0" borderId="57" xfId="0" applyFont="1" applyBorder="1"/>
    <xf numFmtId="0" fontId="0" fillId="0" borderId="37" xfId="0" applyFont="1" applyBorder="1"/>
    <xf numFmtId="0" fontId="0" fillId="0" borderId="39" xfId="0" applyFont="1" applyBorder="1"/>
    <xf numFmtId="0" fontId="0" fillId="0" borderId="64" xfId="0" applyFont="1" applyFill="1" applyBorder="1"/>
    <xf numFmtId="0" fontId="0" fillId="0" borderId="61" xfId="0" applyBorder="1"/>
    <xf numFmtId="0" fontId="1" fillId="10" borderId="6" xfId="0" applyFont="1" applyFill="1" applyBorder="1"/>
    <xf numFmtId="17" fontId="2" fillId="8" borderId="60" xfId="0" applyNumberFormat="1" applyFont="1" applyFill="1" applyBorder="1" applyAlignment="1">
      <alignment wrapText="1"/>
    </xf>
    <xf numFmtId="17" fontId="2" fillId="6" borderId="6" xfId="0" applyNumberFormat="1" applyFont="1" applyFill="1" applyBorder="1"/>
    <xf numFmtId="17" fontId="2" fillId="6" borderId="1" xfId="0" applyNumberFormat="1" applyFont="1" applyFill="1" applyBorder="1"/>
    <xf numFmtId="17" fontId="2" fillId="7" borderId="50" xfId="0" applyNumberFormat="1" applyFont="1" applyFill="1" applyBorder="1" applyAlignment="1">
      <alignment wrapText="1"/>
    </xf>
    <xf numFmtId="17" fontId="2" fillId="7" borderId="41" xfId="0" applyNumberFormat="1" applyFont="1" applyFill="1" applyBorder="1" applyAlignment="1">
      <alignment wrapText="1"/>
    </xf>
    <xf numFmtId="17" fontId="2" fillId="7" borderId="34" xfId="0" applyNumberFormat="1" applyFont="1" applyFill="1" applyBorder="1" applyAlignment="1">
      <alignment wrapText="1"/>
    </xf>
    <xf numFmtId="17" fontId="2" fillId="7" borderId="1" xfId="0" applyNumberFormat="1" applyFont="1" applyFill="1" applyBorder="1" applyAlignment="1">
      <alignment wrapText="1"/>
    </xf>
    <xf numFmtId="17" fontId="0" fillId="3" borderId="65" xfId="0" applyNumberFormat="1" applyFont="1" applyFill="1" applyBorder="1" applyAlignment="1">
      <alignment wrapText="1"/>
    </xf>
    <xf numFmtId="165" fontId="1" fillId="0" borderId="28" xfId="0" applyNumberFormat="1" applyFont="1" applyBorder="1" applyAlignment="1"/>
    <xf numFmtId="165" fontId="1" fillId="0" borderId="33" xfId="0" applyNumberFormat="1" applyFont="1" applyBorder="1" applyAlignment="1"/>
    <xf numFmtId="0" fontId="1" fillId="0" borderId="25" xfId="0" applyFont="1" applyBorder="1"/>
    <xf numFmtId="0" fontId="0" fillId="5" borderId="15" xfId="0" applyFont="1" applyFill="1" applyBorder="1"/>
    <xf numFmtId="0" fontId="0" fillId="5" borderId="4" xfId="0" applyFont="1" applyFill="1" applyBorder="1"/>
    <xf numFmtId="0" fontId="0" fillId="5" borderId="62" xfId="0" applyFont="1" applyFill="1" applyBorder="1"/>
    <xf numFmtId="0" fontId="0" fillId="5" borderId="55" xfId="0" applyFont="1" applyFill="1" applyBorder="1"/>
    <xf numFmtId="0" fontId="0" fillId="5" borderId="40" xfId="0" applyFont="1" applyFill="1" applyBorder="1"/>
    <xf numFmtId="0" fontId="0" fillId="5" borderId="63" xfId="0" applyFont="1" applyFill="1" applyBorder="1"/>
    <xf numFmtId="0" fontId="0" fillId="5" borderId="0" xfId="0" applyFont="1" applyFill="1" applyBorder="1"/>
    <xf numFmtId="0" fontId="0" fillId="5" borderId="32" xfId="0" applyFont="1" applyFill="1" applyBorder="1"/>
    <xf numFmtId="0" fontId="0" fillId="5" borderId="31" xfId="0" applyFont="1" applyFill="1" applyBorder="1"/>
    <xf numFmtId="0" fontId="0" fillId="5" borderId="35" xfId="0" applyFont="1" applyFill="1" applyBorder="1"/>
    <xf numFmtId="0" fontId="0" fillId="5" borderId="52" xfId="0" applyFont="1" applyFill="1" applyBorder="1"/>
    <xf numFmtId="6" fontId="1" fillId="6" borderId="23" xfId="0" applyNumberFormat="1" applyFont="1" applyFill="1" applyBorder="1"/>
    <xf numFmtId="0" fontId="1" fillId="12" borderId="6" xfId="0" applyFont="1" applyFill="1" applyBorder="1"/>
    <xf numFmtId="0" fontId="1" fillId="12" borderId="2" xfId="0" applyFont="1" applyFill="1" applyBorder="1"/>
    <xf numFmtId="0" fontId="1" fillId="12" borderId="23" xfId="0" applyFont="1" applyFill="1" applyBorder="1"/>
    <xf numFmtId="0" fontId="1" fillId="12" borderId="28" xfId="0" applyFont="1" applyFill="1" applyBorder="1"/>
    <xf numFmtId="0" fontId="1" fillId="12" borderId="24" xfId="0" applyFont="1" applyFill="1" applyBorder="1"/>
    <xf numFmtId="6" fontId="1" fillId="12" borderId="1" xfId="0" applyNumberFormat="1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1" xfId="0" applyFont="1" applyFill="1" applyBorder="1"/>
    <xf numFmtId="6" fontId="1" fillId="7" borderId="1" xfId="0" applyNumberFormat="1" applyFont="1" applyFill="1" applyBorder="1"/>
    <xf numFmtId="0" fontId="0" fillId="10" borderId="3" xfId="0" applyFont="1" applyFill="1" applyBorder="1"/>
    <xf numFmtId="0" fontId="0" fillId="10" borderId="2" xfId="0" applyFill="1" applyBorder="1"/>
    <xf numFmtId="9" fontId="1" fillId="0" borderId="0" xfId="4" applyFont="1" applyBorder="1"/>
    <xf numFmtId="0" fontId="1" fillId="5" borderId="4" xfId="0" applyFont="1" applyFill="1" applyBorder="1" applyAlignment="1">
      <alignment wrapText="1"/>
    </xf>
    <xf numFmtId="0" fontId="0" fillId="0" borderId="4" xfId="0" applyBorder="1" applyAlignment="1"/>
    <xf numFmtId="0" fontId="1" fillId="0" borderId="4" xfId="0" applyFont="1" applyBorder="1" applyAlignment="1"/>
    <xf numFmtId="0" fontId="1" fillId="0" borderId="0" xfId="0" applyFont="1" applyBorder="1" applyAlignment="1"/>
    <xf numFmtId="164" fontId="1" fillId="3" borderId="6" xfId="2" applyNumberFormat="1" applyFont="1" applyFill="1" applyBorder="1"/>
    <xf numFmtId="0" fontId="0" fillId="5" borderId="46" xfId="0" applyFont="1" applyFill="1" applyBorder="1"/>
    <xf numFmtId="0" fontId="0" fillId="5" borderId="45" xfId="0" applyFont="1" applyFill="1" applyBorder="1"/>
    <xf numFmtId="0" fontId="0" fillId="5" borderId="49" xfId="0" applyFont="1" applyFill="1" applyBorder="1"/>
    <xf numFmtId="0" fontId="0" fillId="5" borderId="45" xfId="0" applyFill="1" applyBorder="1"/>
    <xf numFmtId="0" fontId="3" fillId="0" borderId="4" xfId="0" applyFont="1" applyFill="1" applyBorder="1"/>
    <xf numFmtId="0" fontId="0" fillId="12" borderId="6" xfId="0" applyFill="1" applyBorder="1"/>
    <xf numFmtId="44" fontId="0" fillId="0" borderId="0" xfId="2" applyFont="1"/>
    <xf numFmtId="44" fontId="0" fillId="0" borderId="0" xfId="0" applyNumberFormat="1"/>
    <xf numFmtId="6" fontId="0" fillId="5" borderId="4" xfId="0" applyNumberFormat="1" applyFill="1" applyBorder="1"/>
    <xf numFmtId="0" fontId="0" fillId="5" borderId="32" xfId="0" applyFill="1" applyBorder="1"/>
    <xf numFmtId="0" fontId="1" fillId="5" borderId="4" xfId="0" applyFont="1" applyFill="1" applyBorder="1"/>
    <xf numFmtId="9" fontId="0" fillId="5" borderId="4" xfId="4" applyFont="1" applyFill="1" applyBorder="1"/>
    <xf numFmtId="9" fontId="1" fillId="5" borderId="4" xfId="4" applyFont="1" applyFill="1" applyBorder="1"/>
    <xf numFmtId="1" fontId="1" fillId="5" borderId="4" xfId="0" applyNumberFormat="1" applyFont="1" applyFill="1" applyBorder="1"/>
    <xf numFmtId="9" fontId="1" fillId="5" borderId="4" xfId="0" applyNumberFormat="1" applyFont="1" applyFill="1" applyBorder="1"/>
    <xf numFmtId="0" fontId="10" fillId="0" borderId="0" xfId="0" applyFont="1" applyAlignment="1">
      <alignment horizontal="left" vertical="center" indent="8"/>
    </xf>
    <xf numFmtId="0" fontId="1" fillId="0" borderId="0" xfId="0" applyFont="1" applyAlignment="1">
      <alignment wrapText="1"/>
    </xf>
    <xf numFmtId="0" fontId="2" fillId="13" borderId="1" xfId="0" applyFont="1" applyFill="1" applyBorder="1" applyAlignment="1">
      <alignment vertical="center"/>
    </xf>
    <xf numFmtId="0" fontId="2" fillId="13" borderId="6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7" xfId="0" applyFont="1" applyBorder="1" applyAlignment="1">
      <alignment horizontal="right" vertical="center"/>
    </xf>
    <xf numFmtId="0" fontId="2" fillId="13" borderId="44" xfId="0" applyFont="1" applyFill="1" applyBorder="1" applyAlignment="1">
      <alignment vertical="center"/>
    </xf>
    <xf numFmtId="0" fontId="2" fillId="13" borderId="57" xfId="0" applyFont="1" applyFill="1" applyBorder="1" applyAlignment="1">
      <alignment horizontal="right" vertical="center"/>
    </xf>
    <xf numFmtId="44" fontId="3" fillId="0" borderId="57" xfId="2" applyFont="1" applyBorder="1" applyAlignment="1">
      <alignment horizontal="right" vertical="center"/>
    </xf>
    <xf numFmtId="44" fontId="2" fillId="13" borderId="57" xfId="2" applyFont="1" applyFill="1" applyBorder="1" applyAlignment="1">
      <alignment horizontal="right" vertical="center"/>
    </xf>
    <xf numFmtId="44" fontId="3" fillId="0" borderId="18" xfId="2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44" fontId="2" fillId="13" borderId="6" xfId="2" applyFont="1" applyFill="1" applyBorder="1" applyAlignment="1">
      <alignment horizontal="right" vertical="center"/>
    </xf>
    <xf numFmtId="0" fontId="12" fillId="0" borderId="44" xfId="0" applyFont="1" applyBorder="1" applyAlignment="1">
      <alignment vertical="center" wrapText="1"/>
    </xf>
    <xf numFmtId="0" fontId="11" fillId="0" borderId="57" xfId="0" applyFont="1" applyBorder="1" applyAlignment="1">
      <alignment horizontal="right" vertical="center" wrapText="1"/>
    </xf>
    <xf numFmtId="0" fontId="12" fillId="0" borderId="57" xfId="0" applyFont="1" applyBorder="1" applyAlignment="1">
      <alignment horizontal="right" vertical="center" wrapText="1"/>
    </xf>
    <xf numFmtId="6" fontId="11" fillId="0" borderId="57" xfId="0" applyNumberFormat="1" applyFont="1" applyBorder="1" applyAlignment="1">
      <alignment horizontal="right" vertical="center" wrapText="1"/>
    </xf>
    <xf numFmtId="6" fontId="12" fillId="0" borderId="57" xfId="0" applyNumberFormat="1" applyFont="1" applyBorder="1" applyAlignment="1">
      <alignment horizontal="right" vertical="center" wrapText="1"/>
    </xf>
    <xf numFmtId="0" fontId="3" fillId="2" borderId="5" xfId="0" applyFont="1" applyFill="1" applyBorder="1"/>
    <xf numFmtId="0" fontId="3" fillId="0" borderId="5" xfId="0" applyFont="1" applyFill="1" applyBorder="1"/>
    <xf numFmtId="0" fontId="5" fillId="0" borderId="27" xfId="1" applyBorder="1"/>
    <xf numFmtId="0" fontId="0" fillId="5" borderId="51" xfId="0" applyFont="1" applyFill="1" applyBorder="1"/>
    <xf numFmtId="0" fontId="0" fillId="5" borderId="44" xfId="0" applyFont="1" applyFill="1" applyBorder="1"/>
    <xf numFmtId="44" fontId="1" fillId="10" borderId="0" xfId="2" applyFont="1" applyFill="1"/>
    <xf numFmtId="44" fontId="1" fillId="0" borderId="0" xfId="0" applyNumberFormat="1" applyFont="1"/>
    <xf numFmtId="9" fontId="0" fillId="0" borderId="4" xfId="4" applyFont="1" applyBorder="1" applyAlignment="1">
      <alignment horizontal="center"/>
    </xf>
    <xf numFmtId="9" fontId="0" fillId="0" borderId="5" xfId="4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4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1" fillId="0" borderId="24" xfId="2" applyNumberFormat="1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9" fontId="0" fillId="0" borderId="0" xfId="4" applyFont="1" applyBorder="1"/>
    <xf numFmtId="44" fontId="0" fillId="0" borderId="3" xfId="2" applyNumberFormat="1" applyFont="1" applyBorder="1"/>
    <xf numFmtId="44" fontId="0" fillId="0" borderId="4" xfId="2" applyNumberFormat="1" applyFont="1" applyBorder="1"/>
    <xf numFmtId="9" fontId="0" fillId="5" borderId="18" xfId="4" applyFont="1" applyFill="1" applyBorder="1"/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52" xfId="0" applyBorder="1" applyAlignment="1">
      <alignment horizontal="left" wrapText="1"/>
    </xf>
  </cellXfs>
  <cellStyles count="6">
    <cellStyle name="Comma" xfId="3" builtinId="3"/>
    <cellStyle name="Currency" xfId="2" builtinId="4"/>
    <cellStyle name="Hyperlink" xfId="1" builtinId="8"/>
    <cellStyle name="Normal" xfId="0" builtinId="0"/>
    <cellStyle name="Normal 2 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Total</a:t>
            </a:r>
            <a:r>
              <a:rPr lang="en-GB" baseline="0"/>
              <a:t> CLAS Awards</a:t>
            </a:r>
          </a:p>
        </c:rich>
      </c:tx>
      <c:layout>
        <c:manualLayout>
          <c:xMode val="edge"/>
          <c:yMode val="edge"/>
          <c:x val="0.36428161273581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55074365704287E-2"/>
          <c:y val="6.9919072615923006E-2"/>
          <c:w val="0.57844203849518805"/>
          <c:h val="0.74530475357247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 charts'!$A$3</c:f>
              <c:strCache>
                <c:ptCount val="1"/>
                <c:pt idx="0">
                  <c:v>Green Goods</c:v>
                </c:pt>
              </c:strCache>
            </c:strRef>
          </c:tx>
          <c:invertIfNegative val="0"/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charts'!$B$3:$M$3</c:f>
              <c:numCache>
                <c:formatCode>General</c:formatCode>
                <c:ptCount val="12"/>
                <c:pt idx="0">
                  <c:v>32</c:v>
                </c:pt>
                <c:pt idx="1">
                  <c:v>35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'for charts'!$A$4</c:f>
              <c:strCache>
                <c:ptCount val="1"/>
                <c:pt idx="0">
                  <c:v>White Goods</c:v>
                </c:pt>
              </c:strCache>
            </c:strRef>
          </c:tx>
          <c:invertIfNegative val="0"/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charts'!$B$4:$M$4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'for charts'!$A$5</c:f>
              <c:strCache>
                <c:ptCount val="1"/>
                <c:pt idx="0">
                  <c:v>Supermarket vouchers</c:v>
                </c:pt>
              </c:strCache>
            </c:strRef>
          </c:tx>
          <c:invertIfNegative val="0"/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charts'!$B$5:$M$5</c:f>
              <c:numCache>
                <c:formatCode>General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0732800"/>
        <c:axId val="67018048"/>
      </c:barChart>
      <c:dateAx>
        <c:axId val="110732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7018048"/>
        <c:crosses val="autoZero"/>
        <c:auto val="1"/>
        <c:lblOffset val="100"/>
        <c:baseTimeUnit val="months"/>
      </c:dateAx>
      <c:valAx>
        <c:axId val="6701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32800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800"/>
              <a:t>Awards made</a:t>
            </a:r>
          </a:p>
        </c:rich>
      </c:tx>
      <c:layout>
        <c:manualLayout>
          <c:xMode val="edge"/>
          <c:yMode val="edge"/>
          <c:x val="0.27154130123978398"/>
          <c:y val="8.2329304251762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96942264377082E-2"/>
          <c:y val="0.30743472987465931"/>
          <c:w val="0.902682820135288"/>
          <c:h val="0.61775264558191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'for charts'!$A$3</c:f>
              <c:strCache>
                <c:ptCount val="1"/>
                <c:pt idx="0">
                  <c:v>Green Goods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charts'!$B$3:$M$3</c:f>
              <c:numCache>
                <c:formatCode>General</c:formatCode>
                <c:ptCount val="12"/>
                <c:pt idx="0">
                  <c:v>32</c:v>
                </c:pt>
                <c:pt idx="1">
                  <c:v>35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8B-41D7-B391-F76546B8E09C}"/>
            </c:ext>
          </c:extLst>
        </c:ser>
        <c:ser>
          <c:idx val="1"/>
          <c:order val="1"/>
          <c:tx>
            <c:strRef>
              <c:f>'for charts'!$A$4</c:f>
              <c:strCache>
                <c:ptCount val="1"/>
                <c:pt idx="0">
                  <c:v>White Goods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charts'!$B$4:$M$4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8B-41D7-B391-F76546B8E09C}"/>
            </c:ext>
          </c:extLst>
        </c:ser>
        <c:ser>
          <c:idx val="2"/>
          <c:order val="2"/>
          <c:tx>
            <c:strRef>
              <c:f>'for charts'!$A$5</c:f>
              <c:strCache>
                <c:ptCount val="1"/>
                <c:pt idx="0">
                  <c:v>Supermarket vouchers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charts'!$B$5:$M$5</c:f>
              <c:numCache>
                <c:formatCode>General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8B-41D7-B391-F76546B8E09C}"/>
            </c:ext>
          </c:extLst>
        </c:ser>
        <c:ser>
          <c:idx val="3"/>
          <c:order val="3"/>
          <c:tx>
            <c:strRef>
              <c:f>'for charts'!$A$6</c:f>
              <c:strCache>
                <c:ptCount val="1"/>
                <c:pt idx="0">
                  <c:v>Target 41 per month</c:v>
                </c:pt>
              </c:strCache>
            </c:strRef>
          </c:tx>
          <c:invertIfNegative val="0"/>
          <c:cat>
            <c:numRef>
              <c:f>'for charts'!$B$2:$M$2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'for charts'!$B$6:$M$6</c:f>
              <c:numCache>
                <c:formatCode>General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8B-41D7-B391-F76546B8E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61632"/>
        <c:axId val="110553344"/>
      </c:barChart>
      <c:dateAx>
        <c:axId val="11386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0553344"/>
        <c:crosses val="autoZero"/>
        <c:auto val="1"/>
        <c:lblOffset val="100"/>
        <c:baseTimeUnit val="months"/>
      </c:dateAx>
      <c:valAx>
        <c:axId val="110553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86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87489063867001"/>
          <c:y val="2.9787491732680055E-2"/>
          <c:w val="0.19853647867187335"/>
          <c:h val="0.203477183778075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Geographical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816230461070907E-2"/>
          <c:y val="0.19350982241425949"/>
          <c:w val="0.62248886905331169"/>
          <c:h val="0.71344782459295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charts'!$B$21</c:f>
              <c:strCache>
                <c:ptCount val="1"/>
                <c:pt idx="0">
                  <c:v>totals so far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 charts'!$A$22:$A$26</c:f>
              <c:strCache>
                <c:ptCount val="5"/>
                <c:pt idx="0">
                  <c:v>Cambridge City</c:v>
                </c:pt>
                <c:pt idx="1">
                  <c:v>South Cambs</c:v>
                </c:pt>
                <c:pt idx="2">
                  <c:v>Fenland</c:v>
                </c:pt>
                <c:pt idx="3">
                  <c:v>East Cambs</c:v>
                </c:pt>
                <c:pt idx="4">
                  <c:v>Hunts</c:v>
                </c:pt>
              </c:strCache>
            </c:strRef>
          </c:cat>
          <c:val>
            <c:numRef>
              <c:f>'for charts'!$B$22:$B$26</c:f>
              <c:numCache>
                <c:formatCode>General</c:formatCode>
                <c:ptCount val="5"/>
                <c:pt idx="0">
                  <c:v>54</c:v>
                </c:pt>
                <c:pt idx="1">
                  <c:v>23</c:v>
                </c:pt>
                <c:pt idx="2">
                  <c:v>53</c:v>
                </c:pt>
                <c:pt idx="3">
                  <c:v>24</c:v>
                </c:pt>
                <c:pt idx="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21-41B6-8F5E-448A3964E265}"/>
            </c:ext>
          </c:extLst>
        </c:ser>
        <c:ser>
          <c:idx val="1"/>
          <c:order val="1"/>
          <c:tx>
            <c:strRef>
              <c:f>'for charts'!$C$21</c:f>
              <c:strCache>
                <c:ptCount val="1"/>
                <c:pt idx="0">
                  <c:v>Awards - Annual target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 charts'!$A$22:$A$26</c:f>
              <c:strCache>
                <c:ptCount val="5"/>
                <c:pt idx="0">
                  <c:v>Cambridge City</c:v>
                </c:pt>
                <c:pt idx="1">
                  <c:v>South Cambs</c:v>
                </c:pt>
                <c:pt idx="2">
                  <c:v>Fenland</c:v>
                </c:pt>
                <c:pt idx="3">
                  <c:v>East Cambs</c:v>
                </c:pt>
                <c:pt idx="4">
                  <c:v>Hunts</c:v>
                </c:pt>
              </c:strCache>
            </c:strRef>
          </c:cat>
          <c:val>
            <c:numRef>
              <c:f>'for charts'!$C$22:$C$26</c:f>
              <c:numCache>
                <c:formatCode>0</c:formatCode>
                <c:ptCount val="5"/>
                <c:pt idx="0">
                  <c:v>125.35368000000001</c:v>
                </c:pt>
                <c:pt idx="1">
                  <c:v>76.302240000000012</c:v>
                </c:pt>
                <c:pt idx="2">
                  <c:v>136.25399999999999</c:v>
                </c:pt>
                <c:pt idx="3">
                  <c:v>70.852080000000001</c:v>
                </c:pt>
                <c:pt idx="4">
                  <c:v>136.25399999999999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21-41B6-8F5E-448A3964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29536"/>
        <c:axId val="110555648"/>
      </c:barChart>
      <c:catAx>
        <c:axId val="11372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0555648"/>
        <c:crosses val="autoZero"/>
        <c:auto val="1"/>
        <c:lblAlgn val="ctr"/>
        <c:lblOffset val="100"/>
        <c:noMultiLvlLbl val="0"/>
      </c:catAx>
      <c:valAx>
        <c:axId val="11055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2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83006577619092"/>
          <c:y val="0.34551385812149521"/>
          <c:w val="0.1818487466394636"/>
          <c:h val="0.2791674160507095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2219323</xdr:colOff>
      <xdr:row>3</xdr:row>
      <xdr:rowOff>26849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219323" cy="51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78800</xdr:colOff>
      <xdr:row>0</xdr:row>
      <xdr:rowOff>131618</xdr:rowOff>
    </xdr:from>
    <xdr:to>
      <xdr:col>10</xdr:col>
      <xdr:colOff>600943</xdr:colOff>
      <xdr:row>25</xdr:row>
      <xdr:rowOff>73602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0.08285</cdr:x>
      <cdr:y>0.39476</cdr:y>
    </cdr:from>
    <cdr:to>
      <cdr:x>0.7041</cdr:x>
      <cdr:y>0.39899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53335" y="1771706"/>
          <a:ext cx="4149178" cy="1898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headEnd type="none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0.68443</cdr:x>
      <cdr:y>0.1501</cdr:y>
    </cdr:from>
    <cdr:to>
      <cdr:x>0.88539</cdr:x>
      <cdr:y>0.35462</cdr:y>
    </cdr:to>
    <cdr:sp macro="" textlink="">
      <cdr:nvSpPr>
        <cdr:cNvPr id="8" name="Oval Callout 7"/>
        <cdr:cNvSpPr/>
      </cdr:nvSpPr>
      <cdr:spPr>
        <a:xfrm xmlns:a="http://schemas.openxmlformats.org/drawingml/2006/main">
          <a:off x="4571136" y="673666"/>
          <a:ext cx="1342163" cy="91788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Assumption</a:t>
          </a:r>
          <a:r>
            <a:rPr lang="en-US" b="1" baseline="0"/>
            <a:t> 45 awards per month</a:t>
          </a:r>
          <a:endParaRPr lang="en-US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152399</xdr:rowOff>
    </xdr:from>
    <xdr:to>
      <xdr:col>13</xdr:col>
      <xdr:colOff>571500</xdr:colOff>
      <xdr:row>36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39</xdr:row>
      <xdr:rowOff>76199</xdr:rowOff>
    </xdr:from>
    <xdr:to>
      <xdr:col>13</xdr:col>
      <xdr:colOff>523875</xdr:colOff>
      <xdr:row>58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0070C0"/>
      </a:accent2>
      <a:accent3>
        <a:srgbClr val="FF000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nda.hart@huntingdonshire.gov.uk" TargetMode="External"/><Relationship Id="rId13" Type="http://schemas.openxmlformats.org/officeDocument/2006/relationships/hyperlink" Target="mailto:Carol.Hopkinson@chsgroup.org.uk" TargetMode="External"/><Relationship Id="rId18" Type="http://schemas.openxmlformats.org/officeDocument/2006/relationships/hyperlink" Target="mailto:helens@ruralcambscab.org.uk" TargetMode="External"/><Relationship Id="rId3" Type="http://schemas.openxmlformats.org/officeDocument/2006/relationships/hyperlink" Target="mailto:sarah.morris@cpft.nhs.uk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karen.wells@red2green.org" TargetMode="External"/><Relationship Id="rId12" Type="http://schemas.openxmlformats.org/officeDocument/2006/relationships/hyperlink" Target="mailto:emma@cambridgecyrenians.org.uk" TargetMode="External"/><Relationship Id="rId17" Type="http://schemas.openxmlformats.org/officeDocument/2006/relationships/hyperlink" Target="mailto:Lorrainep@cambridgecab.org.uk" TargetMode="External"/><Relationship Id="rId2" Type="http://schemas.openxmlformats.org/officeDocument/2006/relationships/hyperlink" Target="mailto:louise.garner@ormistonfamilies.org.uk" TargetMode="External"/><Relationship Id="rId16" Type="http://schemas.openxmlformats.org/officeDocument/2006/relationships/hyperlink" Target="mailto:Annette.Pacey@bpha.org.u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Olena.Batista@circle.org.uk" TargetMode="External"/><Relationship Id="rId6" Type="http://schemas.openxmlformats.org/officeDocument/2006/relationships/hyperlink" Target="mailto:Rachel.Greenfield@chsgroup.org.uk" TargetMode="External"/><Relationship Id="rId11" Type="http://schemas.openxmlformats.org/officeDocument/2006/relationships/hyperlink" Target="mailto:Sarah.Young@chsgroup.org.uk" TargetMode="External"/><Relationship Id="rId5" Type="http://schemas.openxmlformats.org/officeDocument/2006/relationships/hyperlink" Target="mailto:sam.vaughan@eastcambs.gov.uk" TargetMode="External"/><Relationship Id="rId15" Type="http://schemas.openxmlformats.org/officeDocument/2006/relationships/hyperlink" Target="mailto:diana@cwrc.org.uk" TargetMode="External"/><Relationship Id="rId10" Type="http://schemas.openxmlformats.org/officeDocument/2006/relationships/hyperlink" Target="mailto:Sarva@johnhuntingdon.org.uk" TargetMode="External"/><Relationship Id="rId19" Type="http://schemas.openxmlformats.org/officeDocument/2006/relationships/hyperlink" Target="mailto:alisonnolan@wintercomfort.org.uk" TargetMode="External"/><Relationship Id="rId4" Type="http://schemas.openxmlformats.org/officeDocument/2006/relationships/hyperlink" Target="mailto:Stefanie.Heyes@chsgroup.org.uk" TargetMode="External"/><Relationship Id="rId9" Type="http://schemas.openxmlformats.org/officeDocument/2006/relationships/hyperlink" Target="mailto:Richard.Hutcheson@axiomha.org.uk" TargetMode="External"/><Relationship Id="rId14" Type="http://schemas.openxmlformats.org/officeDocument/2006/relationships/hyperlink" Target="mailto:sarah-jayne.goakes@circle.org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H42"/>
  <sheetViews>
    <sheetView topLeftCell="B7" workbookViewId="0">
      <selection activeCell="J32" sqref="J32"/>
    </sheetView>
  </sheetViews>
  <sheetFormatPr defaultRowHeight="14.25" x14ac:dyDescent="0.2"/>
  <cols>
    <col min="1" max="1" width="17" hidden="1" customWidth="1"/>
    <col min="2" max="2" width="36" bestFit="1" customWidth="1"/>
    <col min="3" max="3" width="14" hidden="1" customWidth="1"/>
    <col min="4" max="4" width="32.375" hidden="1" customWidth="1"/>
    <col min="5" max="5" width="15.25" bestFit="1" customWidth="1"/>
    <col min="6" max="6" width="14" bestFit="1" customWidth="1"/>
    <col min="7" max="7" width="15.375" customWidth="1"/>
    <col min="8" max="8" width="15.25" customWidth="1"/>
    <col min="9" max="9" width="18.25" customWidth="1"/>
  </cols>
  <sheetData>
    <row r="5" spans="1:8" x14ac:dyDescent="0.2">
      <c r="A5" s="2"/>
    </row>
    <row r="6" spans="1:8" ht="15" thickBot="1" x14ac:dyDescent="0.25">
      <c r="A6" s="2" t="s">
        <v>46</v>
      </c>
      <c r="B6" s="2" t="s">
        <v>46</v>
      </c>
    </row>
    <row r="7" spans="1:8" ht="30.75" thickBot="1" x14ac:dyDescent="0.3">
      <c r="A7" s="21" t="s">
        <v>0</v>
      </c>
      <c r="B7" s="22" t="s">
        <v>1</v>
      </c>
      <c r="C7" s="22"/>
      <c r="D7" s="131"/>
      <c r="E7" s="21" t="s">
        <v>40</v>
      </c>
      <c r="F7" s="23" t="s">
        <v>185</v>
      </c>
      <c r="G7" s="23" t="s">
        <v>41</v>
      </c>
      <c r="H7" s="23" t="s">
        <v>45</v>
      </c>
    </row>
    <row r="8" spans="1:8" ht="15" x14ac:dyDescent="0.25">
      <c r="A8" s="3" t="s">
        <v>2</v>
      </c>
      <c r="B8" s="4" t="s">
        <v>49</v>
      </c>
      <c r="C8" s="17" t="s">
        <v>52</v>
      </c>
      <c r="D8" s="132" t="s">
        <v>51</v>
      </c>
      <c r="E8" s="318">
        <v>8</v>
      </c>
      <c r="F8" s="318"/>
      <c r="G8" s="318">
        <v>3</v>
      </c>
      <c r="H8" s="318">
        <f>SUM(E8:G8)</f>
        <v>11</v>
      </c>
    </row>
    <row r="9" spans="1:8" ht="15" x14ac:dyDescent="0.25">
      <c r="A9" s="5" t="s">
        <v>236</v>
      </c>
      <c r="B9" s="6" t="s">
        <v>4</v>
      </c>
      <c r="C9" s="18" t="s">
        <v>54</v>
      </c>
      <c r="D9" s="37" t="s">
        <v>53</v>
      </c>
      <c r="E9" s="317">
        <v>1</v>
      </c>
      <c r="F9" s="317">
        <v>1</v>
      </c>
      <c r="G9" s="317">
        <v>0</v>
      </c>
      <c r="H9" s="316">
        <f t="shared" ref="H9:H32" si="0">SUM(E9:G9)</f>
        <v>2</v>
      </c>
    </row>
    <row r="10" spans="1:8" ht="15" x14ac:dyDescent="0.25">
      <c r="A10" s="5" t="s">
        <v>5</v>
      </c>
      <c r="B10" s="6" t="s">
        <v>6</v>
      </c>
      <c r="C10" s="6" t="s">
        <v>56</v>
      </c>
      <c r="D10" s="37" t="s">
        <v>55</v>
      </c>
      <c r="E10" s="317">
        <v>0</v>
      </c>
      <c r="F10" s="317">
        <v>1</v>
      </c>
      <c r="G10" s="317">
        <v>0</v>
      </c>
      <c r="H10" s="316">
        <f t="shared" si="0"/>
        <v>1</v>
      </c>
    </row>
    <row r="11" spans="1:8" ht="15" x14ac:dyDescent="0.25">
      <c r="A11" s="7" t="s">
        <v>7</v>
      </c>
      <c r="B11" s="6" t="s">
        <v>8</v>
      </c>
      <c r="C11" s="18" t="s">
        <v>80</v>
      </c>
      <c r="D11" s="37" t="s">
        <v>79</v>
      </c>
      <c r="E11" s="317">
        <v>1</v>
      </c>
      <c r="F11" s="317"/>
      <c r="G11" s="317">
        <v>0</v>
      </c>
      <c r="H11" s="316">
        <f t="shared" si="0"/>
        <v>1</v>
      </c>
    </row>
    <row r="12" spans="1:8" ht="16.5" customHeight="1" x14ac:dyDescent="0.25">
      <c r="A12" s="5" t="s">
        <v>9</v>
      </c>
      <c r="B12" s="6" t="s">
        <v>10</v>
      </c>
      <c r="C12" s="18" t="s">
        <v>78</v>
      </c>
      <c r="D12" s="37" t="s">
        <v>77</v>
      </c>
      <c r="E12" s="317">
        <v>6</v>
      </c>
      <c r="F12" s="317">
        <v>3</v>
      </c>
      <c r="G12" s="317">
        <v>0</v>
      </c>
      <c r="H12" s="316">
        <f t="shared" si="0"/>
        <v>9</v>
      </c>
    </row>
    <row r="13" spans="1:8" ht="15" x14ac:dyDescent="0.25">
      <c r="A13" s="8" t="s">
        <v>11</v>
      </c>
      <c r="B13" s="9" t="s">
        <v>12</v>
      </c>
      <c r="C13" s="14"/>
      <c r="D13" s="133" t="s">
        <v>83</v>
      </c>
      <c r="E13" s="317">
        <v>0</v>
      </c>
      <c r="F13" s="317"/>
      <c r="G13" s="317">
        <v>0</v>
      </c>
      <c r="H13" s="316">
        <f t="shared" si="0"/>
        <v>0</v>
      </c>
    </row>
    <row r="14" spans="1:8" ht="15" x14ac:dyDescent="0.25">
      <c r="A14" s="5" t="s">
        <v>13</v>
      </c>
      <c r="B14" s="6" t="s">
        <v>14</v>
      </c>
      <c r="C14" s="6" t="s">
        <v>58</v>
      </c>
      <c r="D14" s="37" t="s">
        <v>57</v>
      </c>
      <c r="E14" s="317">
        <v>0</v>
      </c>
      <c r="F14" s="317"/>
      <c r="G14" s="317">
        <v>0</v>
      </c>
      <c r="H14" s="316">
        <f t="shared" si="0"/>
        <v>0</v>
      </c>
    </row>
    <row r="15" spans="1:8" ht="15" hidden="1" x14ac:dyDescent="0.25">
      <c r="A15" s="5" t="s">
        <v>15</v>
      </c>
      <c r="B15" s="6" t="s">
        <v>16</v>
      </c>
      <c r="C15" s="6" t="s">
        <v>60</v>
      </c>
      <c r="D15" s="37" t="s">
        <v>59</v>
      </c>
      <c r="E15" s="317"/>
      <c r="F15" s="317"/>
      <c r="G15" s="317"/>
      <c r="H15" s="316">
        <f t="shared" si="0"/>
        <v>0</v>
      </c>
    </row>
    <row r="16" spans="1:8" ht="15" x14ac:dyDescent="0.25">
      <c r="A16" s="5" t="s">
        <v>17</v>
      </c>
      <c r="B16" s="6" t="s">
        <v>18</v>
      </c>
      <c r="C16" s="13"/>
      <c r="D16" s="37" t="s">
        <v>61</v>
      </c>
      <c r="E16" s="317">
        <v>7</v>
      </c>
      <c r="F16" s="317"/>
      <c r="G16" s="317">
        <v>0</v>
      </c>
      <c r="H16" s="316">
        <f t="shared" si="0"/>
        <v>7</v>
      </c>
    </row>
    <row r="17" spans="1:8" ht="15" x14ac:dyDescent="0.25">
      <c r="A17" s="5" t="s">
        <v>19</v>
      </c>
      <c r="B17" s="6" t="s">
        <v>20</v>
      </c>
      <c r="C17" s="6" t="s">
        <v>63</v>
      </c>
      <c r="D17" s="37" t="s">
        <v>62</v>
      </c>
      <c r="E17" s="317">
        <v>4</v>
      </c>
      <c r="F17" s="317">
        <v>1</v>
      </c>
      <c r="G17" s="317">
        <v>0</v>
      </c>
      <c r="H17" s="316">
        <f t="shared" si="0"/>
        <v>5</v>
      </c>
    </row>
    <row r="18" spans="1:8" ht="15" x14ac:dyDescent="0.25">
      <c r="A18" s="7" t="s">
        <v>21</v>
      </c>
      <c r="B18" s="6" t="s">
        <v>22</v>
      </c>
      <c r="C18" s="13"/>
      <c r="D18" s="37" t="s">
        <v>81</v>
      </c>
      <c r="E18" s="317">
        <v>0</v>
      </c>
      <c r="F18" s="317">
        <v>1</v>
      </c>
      <c r="G18" s="317">
        <v>0</v>
      </c>
      <c r="H18" s="316">
        <f t="shared" si="0"/>
        <v>1</v>
      </c>
    </row>
    <row r="19" spans="1:8" ht="15" x14ac:dyDescent="0.25">
      <c r="A19" s="5" t="s">
        <v>23</v>
      </c>
      <c r="B19" s="6" t="s">
        <v>24</v>
      </c>
      <c r="C19" s="6" t="s">
        <v>65</v>
      </c>
      <c r="D19" s="37" t="s">
        <v>64</v>
      </c>
      <c r="E19" s="317">
        <v>5</v>
      </c>
      <c r="F19" s="317"/>
      <c r="G19" s="317">
        <v>0</v>
      </c>
      <c r="H19" s="316">
        <f t="shared" si="0"/>
        <v>5</v>
      </c>
    </row>
    <row r="20" spans="1:8" ht="15" x14ac:dyDescent="0.25">
      <c r="A20" s="7" t="s">
        <v>25</v>
      </c>
      <c r="B20" s="6" t="s">
        <v>26</v>
      </c>
      <c r="C20" s="6" t="s">
        <v>67</v>
      </c>
      <c r="D20" s="37" t="s">
        <v>66</v>
      </c>
      <c r="E20" s="317">
        <v>13</v>
      </c>
      <c r="F20" s="317">
        <v>7</v>
      </c>
      <c r="G20" s="317">
        <v>33</v>
      </c>
      <c r="H20" s="316">
        <f t="shared" si="0"/>
        <v>53</v>
      </c>
    </row>
    <row r="21" spans="1:8" ht="15" x14ac:dyDescent="0.25">
      <c r="A21" s="5" t="s">
        <v>27</v>
      </c>
      <c r="B21" s="6" t="s">
        <v>28</v>
      </c>
      <c r="C21" s="13"/>
      <c r="D21" s="37"/>
      <c r="E21" s="317">
        <v>0</v>
      </c>
      <c r="F21" s="317">
        <v>0</v>
      </c>
      <c r="G21" s="317">
        <v>0</v>
      </c>
      <c r="H21" s="316">
        <f t="shared" si="0"/>
        <v>0</v>
      </c>
    </row>
    <row r="22" spans="1:8" ht="15" x14ac:dyDescent="0.25">
      <c r="A22" s="5" t="s">
        <v>29</v>
      </c>
      <c r="B22" s="6" t="s">
        <v>30</v>
      </c>
      <c r="C22" s="13"/>
      <c r="D22" s="37" t="s">
        <v>68</v>
      </c>
      <c r="E22" s="317">
        <v>3</v>
      </c>
      <c r="F22" s="317"/>
      <c r="G22" s="317">
        <v>2</v>
      </c>
      <c r="H22" s="316">
        <f t="shared" si="0"/>
        <v>5</v>
      </c>
    </row>
    <row r="23" spans="1:8" ht="27" hidden="1" customHeight="1" x14ac:dyDescent="0.25">
      <c r="A23" s="5" t="s">
        <v>31</v>
      </c>
      <c r="B23" s="10" t="s">
        <v>32</v>
      </c>
      <c r="C23" s="15"/>
      <c r="D23" s="134" t="s">
        <v>82</v>
      </c>
      <c r="E23" s="317"/>
      <c r="F23" s="317"/>
      <c r="G23" s="317"/>
      <c r="H23" s="316">
        <f t="shared" si="0"/>
        <v>0</v>
      </c>
    </row>
    <row r="24" spans="1:8" ht="15" x14ac:dyDescent="0.25">
      <c r="A24" s="5" t="s">
        <v>33</v>
      </c>
      <c r="B24" s="6" t="s">
        <v>34</v>
      </c>
      <c r="C24" s="18" t="s">
        <v>70</v>
      </c>
      <c r="D24" s="37" t="s">
        <v>69</v>
      </c>
      <c r="E24" s="317">
        <v>2</v>
      </c>
      <c r="F24" s="317">
        <v>1</v>
      </c>
      <c r="G24" s="317">
        <v>1</v>
      </c>
      <c r="H24" s="316">
        <f t="shared" si="0"/>
        <v>4</v>
      </c>
    </row>
    <row r="25" spans="1:8" ht="15" x14ac:dyDescent="0.25">
      <c r="A25" s="5" t="s">
        <v>167</v>
      </c>
      <c r="B25" s="6" t="s">
        <v>37</v>
      </c>
      <c r="C25" s="18" t="s">
        <v>72</v>
      </c>
      <c r="D25" s="37" t="s">
        <v>71</v>
      </c>
      <c r="E25" s="317">
        <v>1</v>
      </c>
      <c r="F25" s="317">
        <v>2</v>
      </c>
      <c r="G25" s="317">
        <v>0</v>
      </c>
      <c r="H25" s="317">
        <f t="shared" si="0"/>
        <v>3</v>
      </c>
    </row>
    <row r="26" spans="1:8" ht="15" x14ac:dyDescent="0.25">
      <c r="A26" s="350" t="s">
        <v>38</v>
      </c>
      <c r="B26" s="351" t="s">
        <v>39</v>
      </c>
      <c r="C26" s="16"/>
      <c r="D26" s="352" t="s">
        <v>84</v>
      </c>
      <c r="E26" s="353">
        <v>3</v>
      </c>
      <c r="F26" s="353"/>
      <c r="G26" s="353">
        <v>0</v>
      </c>
      <c r="H26" s="353">
        <f t="shared" si="0"/>
        <v>3</v>
      </c>
    </row>
    <row r="27" spans="1:8" ht="15" x14ac:dyDescent="0.25">
      <c r="A27" s="320" t="s">
        <v>35</v>
      </c>
      <c r="B27" s="320" t="s">
        <v>36</v>
      </c>
      <c r="C27" s="320"/>
      <c r="D27" s="37"/>
      <c r="E27" s="317">
        <v>1</v>
      </c>
      <c r="F27" s="317"/>
      <c r="G27" s="317">
        <v>0</v>
      </c>
      <c r="H27" s="317">
        <f t="shared" si="0"/>
        <v>1</v>
      </c>
    </row>
    <row r="28" spans="1:8" ht="15.75" thickBot="1" x14ac:dyDescent="0.3">
      <c r="A28" s="24" t="s">
        <v>237</v>
      </c>
      <c r="B28" s="25" t="s">
        <v>238</v>
      </c>
      <c r="C28" s="128"/>
      <c r="D28" s="27"/>
      <c r="E28" s="354">
        <v>1</v>
      </c>
      <c r="F28" s="354"/>
      <c r="G28" s="354">
        <v>1</v>
      </c>
      <c r="H28" s="354">
        <f t="shared" si="0"/>
        <v>2</v>
      </c>
    </row>
    <row r="29" spans="1:8" ht="15.75" thickBot="1" x14ac:dyDescent="0.3">
      <c r="A29" s="21" t="s">
        <v>86</v>
      </c>
      <c r="B29" s="21" t="s">
        <v>86</v>
      </c>
      <c r="C29" s="20"/>
      <c r="D29" s="20"/>
      <c r="E29" s="321"/>
      <c r="F29" s="321"/>
      <c r="G29" s="321"/>
      <c r="H29" s="321"/>
    </row>
    <row r="30" spans="1:8" ht="15" x14ac:dyDescent="0.25">
      <c r="A30" s="3" t="s">
        <v>47</v>
      </c>
      <c r="B30" s="4" t="s">
        <v>42</v>
      </c>
      <c r="C30" s="18" t="s">
        <v>76</v>
      </c>
      <c r="D30" s="37" t="s">
        <v>75</v>
      </c>
      <c r="E30" s="318">
        <v>28</v>
      </c>
      <c r="F30" s="318">
        <v>11</v>
      </c>
      <c r="G30" s="318">
        <v>9</v>
      </c>
      <c r="H30" s="318">
        <f t="shared" si="0"/>
        <v>48</v>
      </c>
    </row>
    <row r="31" spans="1:8" ht="15" hidden="1" x14ac:dyDescent="0.25">
      <c r="A31" s="12" t="s">
        <v>50</v>
      </c>
      <c r="B31" s="11" t="s">
        <v>48</v>
      </c>
      <c r="C31" s="18" t="s">
        <v>74</v>
      </c>
      <c r="D31" s="37" t="s">
        <v>73</v>
      </c>
      <c r="E31" s="319"/>
      <c r="F31" s="319"/>
      <c r="G31" s="319"/>
      <c r="H31" s="316">
        <f t="shared" si="0"/>
        <v>0</v>
      </c>
    </row>
    <row r="32" spans="1:8" ht="45.75" thickBot="1" x14ac:dyDescent="0.3">
      <c r="A32" s="232" t="s">
        <v>164</v>
      </c>
      <c r="B32" s="25" t="s">
        <v>48</v>
      </c>
      <c r="C32" s="26"/>
      <c r="D32" s="27"/>
      <c r="E32" s="317">
        <v>20</v>
      </c>
      <c r="F32" s="319">
        <v>3</v>
      </c>
      <c r="G32" s="319">
        <v>0</v>
      </c>
      <c r="H32" s="316">
        <f t="shared" si="0"/>
        <v>23</v>
      </c>
    </row>
    <row r="33" spans="1:8" ht="15.75" thickBot="1" x14ac:dyDescent="0.3">
      <c r="A33" s="231" t="s">
        <v>43</v>
      </c>
      <c r="B33" s="231" t="s">
        <v>43</v>
      </c>
      <c r="C33" s="19"/>
      <c r="D33" s="20"/>
      <c r="E33" s="254">
        <f>SUM(E8:E32)</f>
        <v>104</v>
      </c>
      <c r="F33" s="254">
        <f>SUM(F8:F32)</f>
        <v>31</v>
      </c>
      <c r="G33" s="254">
        <f>SUM(G8:G32)</f>
        <v>49</v>
      </c>
      <c r="H33" s="254">
        <f>SUM(E33:G33)</f>
        <v>184</v>
      </c>
    </row>
    <row r="34" spans="1:8" ht="15.75" thickBot="1" x14ac:dyDescent="0.3">
      <c r="A34" s="21" t="s">
        <v>44</v>
      </c>
      <c r="B34" s="21" t="s">
        <v>44</v>
      </c>
      <c r="C34" s="28"/>
      <c r="D34" s="28"/>
      <c r="E34" s="315">
        <v>20908</v>
      </c>
      <c r="F34" s="315">
        <v>7931</v>
      </c>
      <c r="G34" s="315">
        <v>5270</v>
      </c>
      <c r="H34" s="315">
        <f>SUM(E34:G34)</f>
        <v>34109</v>
      </c>
    </row>
    <row r="35" spans="1:8" x14ac:dyDescent="0.2">
      <c r="E35" s="367">
        <f>E34/H34</f>
        <v>0.61297604737752498</v>
      </c>
      <c r="F35" s="88">
        <f>F34/H34</f>
        <v>0.23251927643730394</v>
      </c>
      <c r="G35" s="88">
        <f>G34/H34</f>
        <v>0.15450467618517108</v>
      </c>
    </row>
    <row r="37" spans="1:8" ht="28.5" x14ac:dyDescent="0.2">
      <c r="B37" s="332" t="s">
        <v>235</v>
      </c>
      <c r="C37" s="2"/>
      <c r="D37" s="2"/>
      <c r="E37" s="355">
        <v>130500</v>
      </c>
    </row>
    <row r="38" spans="1:8" x14ac:dyDescent="0.2">
      <c r="B38" t="s">
        <v>243</v>
      </c>
      <c r="E38" s="355">
        <v>5754</v>
      </c>
    </row>
    <row r="39" spans="1:8" x14ac:dyDescent="0.2">
      <c r="B39" s="2" t="s">
        <v>244</v>
      </c>
      <c r="C39" s="2"/>
      <c r="D39" s="2"/>
      <c r="E39" s="356">
        <f>SUM(E37:E38)</f>
        <v>136254</v>
      </c>
      <c r="F39" s="323"/>
    </row>
    <row r="40" spans="1:8" x14ac:dyDescent="0.2">
      <c r="A40" s="88"/>
      <c r="E40" s="323"/>
    </row>
    <row r="41" spans="1:8" x14ac:dyDescent="0.2">
      <c r="B41" s="2" t="s">
        <v>249</v>
      </c>
      <c r="E41" s="356">
        <f>E39/4</f>
        <v>34063.5</v>
      </c>
      <c r="F41" s="88"/>
    </row>
    <row r="42" spans="1:8" x14ac:dyDescent="0.2">
      <c r="G42" s="88"/>
      <c r="H42" s="88"/>
    </row>
  </sheetData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4" r:id="rId14"/>
    <hyperlink ref="D23" r:id="rId15" display="mailto:diana@cwrc.org.uk"/>
    <hyperlink ref="D25" r:id="rId16"/>
    <hyperlink ref="D31" r:id="rId17"/>
    <hyperlink ref="D30" r:id="rId18"/>
    <hyperlink ref="D22" r:id="rId19"/>
  </hyperlinks>
  <pageMargins left="0.23622047244094491" right="0.23622047244094491" top="0.74803149606299213" bottom="0.74803149606299213" header="0.31496062992125984" footer="0.31496062992125984"/>
  <pageSetup paperSize="9" scale="80"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workbookViewId="0">
      <selection activeCell="B5" sqref="B5:D5"/>
    </sheetView>
  </sheetViews>
  <sheetFormatPr defaultRowHeight="14.25" x14ac:dyDescent="0.2"/>
  <cols>
    <col min="1" max="1" width="33.625" customWidth="1"/>
    <col min="2" max="3" width="11.375" bestFit="1" customWidth="1"/>
    <col min="4" max="4" width="11.25" customWidth="1"/>
    <col min="5" max="5" width="13" customWidth="1"/>
    <col min="6" max="6" width="11.75" customWidth="1"/>
    <col min="8" max="8" width="11.375" bestFit="1" customWidth="1"/>
    <col min="9" max="9" width="10.375" bestFit="1" customWidth="1"/>
  </cols>
  <sheetData>
    <row r="1" spans="1:14" x14ac:dyDescent="0.2">
      <c r="A1" s="2" t="s">
        <v>89</v>
      </c>
      <c r="M1" t="s">
        <v>206</v>
      </c>
    </row>
    <row r="2" spans="1:14" x14ac:dyDescent="0.2">
      <c r="I2" s="251"/>
      <c r="M2">
        <v>227</v>
      </c>
    </row>
    <row r="3" spans="1:14" x14ac:dyDescent="0.2">
      <c r="A3" s="1"/>
      <c r="B3" s="30">
        <v>42826</v>
      </c>
      <c r="C3" s="30">
        <v>42856</v>
      </c>
      <c r="D3" s="30">
        <v>42887</v>
      </c>
      <c r="E3" s="30">
        <v>42917</v>
      </c>
      <c r="F3" s="30">
        <v>42948</v>
      </c>
      <c r="G3" s="30">
        <v>42979</v>
      </c>
      <c r="H3" s="30">
        <v>43009</v>
      </c>
      <c r="I3" s="30">
        <v>43040</v>
      </c>
      <c r="J3" s="30">
        <v>43070</v>
      </c>
      <c r="K3" s="30">
        <v>43101</v>
      </c>
      <c r="L3" s="30">
        <v>43132</v>
      </c>
      <c r="M3" s="30">
        <v>43160</v>
      </c>
    </row>
    <row r="4" spans="1:14" x14ac:dyDescent="0.2">
      <c r="A4" s="29" t="s">
        <v>85</v>
      </c>
      <c r="B4" s="1">
        <v>60</v>
      </c>
      <c r="C4" s="1">
        <v>67</v>
      </c>
      <c r="D4" s="1">
        <v>57</v>
      </c>
      <c r="E4" s="1"/>
      <c r="F4" s="1"/>
      <c r="G4" s="1"/>
      <c r="H4" s="1"/>
      <c r="I4" s="1"/>
      <c r="J4" s="1"/>
      <c r="K4" s="245"/>
      <c r="L4" s="245"/>
      <c r="M4" s="245"/>
    </row>
    <row r="5" spans="1:14" x14ac:dyDescent="0.2">
      <c r="A5" s="29" t="s">
        <v>44</v>
      </c>
      <c r="B5" s="31">
        <v>11379.62</v>
      </c>
      <c r="C5" s="31">
        <v>12203.14</v>
      </c>
      <c r="D5" s="31">
        <v>10526.4</v>
      </c>
      <c r="E5" s="31"/>
      <c r="F5" s="221"/>
      <c r="G5" s="221"/>
      <c r="H5" s="250"/>
      <c r="I5" s="250"/>
      <c r="J5" s="250"/>
      <c r="K5" s="324"/>
      <c r="L5" s="324"/>
      <c r="M5" s="324"/>
      <c r="N5" s="178" t="s">
        <v>205</v>
      </c>
    </row>
    <row r="6" spans="1:14" x14ac:dyDescent="0.2">
      <c r="D6" s="229"/>
      <c r="G6" s="229"/>
      <c r="H6" s="229"/>
      <c r="I6" s="229"/>
    </row>
    <row r="8" spans="1:14" x14ac:dyDescent="0.2">
      <c r="A8" s="32" t="s">
        <v>88</v>
      </c>
      <c r="B8" s="33"/>
      <c r="H8" s="229"/>
      <c r="I8" s="229"/>
      <c r="J8" s="229"/>
    </row>
    <row r="9" spans="1:14" x14ac:dyDescent="0.2">
      <c r="A9" s="29" t="s">
        <v>85</v>
      </c>
      <c r="B9" s="1">
        <f>'Total Awards'!H33</f>
        <v>184</v>
      </c>
      <c r="H9" s="229"/>
      <c r="I9" s="229"/>
      <c r="J9" s="229"/>
      <c r="K9" s="229"/>
      <c r="L9" s="229"/>
    </row>
    <row r="10" spans="1:14" x14ac:dyDescent="0.2">
      <c r="A10" s="29" t="s">
        <v>44</v>
      </c>
      <c r="B10" s="38">
        <f>'Total Awards'!H34</f>
        <v>34109</v>
      </c>
      <c r="H10" s="229"/>
      <c r="I10" s="229"/>
      <c r="J10" s="229"/>
      <c r="K10" s="229"/>
      <c r="L10" s="229"/>
    </row>
    <row r="11" spans="1:14" x14ac:dyDescent="0.2">
      <c r="H11" s="39"/>
      <c r="I11" s="39"/>
      <c r="J11" s="39"/>
      <c r="K11" s="229"/>
      <c r="L11" s="229"/>
    </row>
    <row r="12" spans="1:14" x14ac:dyDescent="0.2">
      <c r="J12" s="39"/>
      <c r="K12" s="39"/>
      <c r="L12" s="39"/>
    </row>
    <row r="13" spans="1:14" x14ac:dyDescent="0.2">
      <c r="A13" t="s">
        <v>183</v>
      </c>
      <c r="B13" s="88">
        <f>B10/'Total Awards'!E39</f>
        <v>0.25033393515052771</v>
      </c>
      <c r="D13" s="88"/>
    </row>
    <row r="14" spans="1:14" x14ac:dyDescent="0.2">
      <c r="A14" t="s">
        <v>213</v>
      </c>
      <c r="B14" s="88">
        <v>0.25</v>
      </c>
      <c r="H14" s="251"/>
    </row>
    <row r="15" spans="1:14" x14ac:dyDescent="0.2">
      <c r="A15" t="s">
        <v>212</v>
      </c>
      <c r="B15" s="88">
        <f>B10/'Total Awards'!E41</f>
        <v>1.0013357406021108</v>
      </c>
    </row>
    <row r="16" spans="1:14" x14ac:dyDescent="0.2">
      <c r="A16" s="2" t="s">
        <v>181</v>
      </c>
      <c r="B16" s="227">
        <f>B10/B9</f>
        <v>185.375</v>
      </c>
    </row>
    <row r="17" spans="1:14" x14ac:dyDescent="0.2">
      <c r="A17" t="s">
        <v>195</v>
      </c>
      <c r="B17" s="253">
        <f>SUM(B4:D4)/3</f>
        <v>61.333333333333336</v>
      </c>
    </row>
    <row r="19" spans="1:14" x14ac:dyDescent="0.2">
      <c r="A19" s="88"/>
      <c r="B19" s="88"/>
      <c r="I19" s="229"/>
      <c r="J19" s="229"/>
      <c r="K19" s="229"/>
    </row>
    <row r="20" spans="1:14" x14ac:dyDescent="0.2">
      <c r="A20" s="88"/>
      <c r="B20" s="88"/>
      <c r="G20" s="88"/>
      <c r="K20" s="229"/>
      <c r="L20" s="88"/>
    </row>
    <row r="21" spans="1:14" x14ac:dyDescent="0.2">
      <c r="D21" s="88"/>
      <c r="F21" s="322"/>
      <c r="H21" s="322"/>
      <c r="K21" s="229"/>
    </row>
    <row r="22" spans="1:14" x14ac:dyDescent="0.2">
      <c r="D22" s="88"/>
      <c r="F22" s="322"/>
      <c r="K22" s="39"/>
    </row>
    <row r="23" spans="1:14" x14ac:dyDescent="0.2">
      <c r="A23" s="88"/>
    </row>
    <row r="24" spans="1:14" x14ac:dyDescent="0.2">
      <c r="A24" s="88"/>
      <c r="B24" s="88"/>
      <c r="D24" s="322"/>
      <c r="F24" s="322"/>
      <c r="H24" s="322"/>
      <c r="I24" s="88"/>
      <c r="L24" s="88"/>
      <c r="N24" s="88"/>
    </row>
    <row r="25" spans="1:14" x14ac:dyDescent="0.2">
      <c r="A25" s="88"/>
      <c r="B25" s="88"/>
      <c r="D25" s="88"/>
      <c r="G25" s="88"/>
      <c r="I25" s="88"/>
      <c r="L25" s="88"/>
      <c r="N25" s="88"/>
    </row>
    <row r="26" spans="1:14" x14ac:dyDescent="0.2">
      <c r="A26" s="88"/>
      <c r="B26" s="88"/>
      <c r="D26" s="322"/>
      <c r="F26" s="322"/>
      <c r="H26" s="322"/>
      <c r="I26" s="88"/>
      <c r="L26" s="88"/>
      <c r="N26" s="88"/>
    </row>
    <row r="27" spans="1:14" x14ac:dyDescent="0.2">
      <c r="A27" s="88"/>
      <c r="B27" s="88"/>
      <c r="D27" s="88"/>
    </row>
    <row r="28" spans="1:14" x14ac:dyDescent="0.2">
      <c r="A28" s="88"/>
      <c r="B28" s="88"/>
      <c r="D28" s="322"/>
      <c r="F28" s="322"/>
      <c r="H28" s="322"/>
    </row>
    <row r="29" spans="1:14" x14ac:dyDescent="0.2">
      <c r="A29" s="183"/>
      <c r="B29" s="183"/>
      <c r="C29" s="88"/>
      <c r="D29" s="88"/>
      <c r="E29" s="183"/>
      <c r="L29" s="88"/>
    </row>
    <row r="30" spans="1:14" x14ac:dyDescent="0.2">
      <c r="A30" s="183"/>
      <c r="B30" s="183"/>
      <c r="C30" s="88"/>
      <c r="L30" s="88"/>
    </row>
    <row r="31" spans="1:14" x14ac:dyDescent="0.2">
      <c r="L31" s="88"/>
    </row>
    <row r="32" spans="1:14" x14ac:dyDescent="0.2">
      <c r="A32" s="183"/>
      <c r="C32" s="323"/>
    </row>
    <row r="33" spans="1:12" x14ac:dyDescent="0.2">
      <c r="A33" s="183"/>
    </row>
    <row r="34" spans="1:12" x14ac:dyDescent="0.2">
      <c r="A34" s="183"/>
    </row>
    <row r="35" spans="1:12" x14ac:dyDescent="0.2">
      <c r="A35" s="183"/>
    </row>
    <row r="36" spans="1:12" x14ac:dyDescent="0.2">
      <c r="A36" s="183"/>
      <c r="L36" s="88"/>
    </row>
    <row r="38" spans="1:12" ht="15" x14ac:dyDescent="0.2">
      <c r="D38" s="88"/>
      <c r="E38" s="88"/>
      <c r="G38" s="183"/>
      <c r="H38" s="331"/>
    </row>
    <row r="39" spans="1:12" x14ac:dyDescent="0.2">
      <c r="D39" s="88"/>
      <c r="E39" s="88"/>
    </row>
    <row r="40" spans="1:12" x14ac:dyDescent="0.2">
      <c r="D40" s="88"/>
    </row>
    <row r="41" spans="1:12" x14ac:dyDescent="0.2">
      <c r="G41" s="88"/>
    </row>
    <row r="44" spans="1:12" x14ac:dyDescent="0.2">
      <c r="E44" s="88"/>
    </row>
    <row r="45" spans="1:12" x14ac:dyDescent="0.2">
      <c r="E45" s="8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31"/>
  <sheetViews>
    <sheetView topLeftCell="A25" workbookViewId="0">
      <selection activeCell="L16" sqref="L16"/>
    </sheetView>
  </sheetViews>
  <sheetFormatPr defaultRowHeight="14.25" x14ac:dyDescent="0.2"/>
  <cols>
    <col min="1" max="1" width="25.25" customWidth="1"/>
    <col min="2" max="2" width="8.125" customWidth="1"/>
    <col min="3" max="3" width="13.5" customWidth="1"/>
    <col min="4" max="4" width="15.625" customWidth="1"/>
    <col min="6" max="6" width="10.125" customWidth="1"/>
  </cols>
  <sheetData>
    <row r="1" spans="1:18" ht="15" thickBot="1" x14ac:dyDescent="0.25">
      <c r="A1" s="2" t="s">
        <v>118</v>
      </c>
      <c r="B1" s="2"/>
    </row>
    <row r="2" spans="1:18" ht="29.25" thickBot="1" x14ac:dyDescent="0.25">
      <c r="A2" s="91" t="s">
        <v>99</v>
      </c>
      <c r="B2" s="103" t="s">
        <v>137</v>
      </c>
      <c r="C2" s="92" t="s">
        <v>239</v>
      </c>
      <c r="D2" s="92" t="s">
        <v>240</v>
      </c>
      <c r="E2" s="92" t="s">
        <v>241</v>
      </c>
      <c r="F2" s="93" t="s">
        <v>125</v>
      </c>
      <c r="G2" s="92" t="s">
        <v>122</v>
      </c>
      <c r="H2" s="92" t="s">
        <v>123</v>
      </c>
      <c r="I2" s="92" t="s">
        <v>124</v>
      </c>
      <c r="J2" s="93" t="s">
        <v>126</v>
      </c>
      <c r="K2" s="283" t="s">
        <v>128</v>
      </c>
      <c r="L2" s="283" t="s">
        <v>129</v>
      </c>
      <c r="M2" s="283" t="s">
        <v>130</v>
      </c>
      <c r="N2" s="93" t="s">
        <v>127</v>
      </c>
      <c r="O2" s="92" t="s">
        <v>132</v>
      </c>
      <c r="P2" s="92" t="s">
        <v>133</v>
      </c>
      <c r="Q2" s="92" t="s">
        <v>136</v>
      </c>
      <c r="R2" s="94" t="s">
        <v>131</v>
      </c>
    </row>
    <row r="3" spans="1:18" x14ac:dyDescent="0.2">
      <c r="A3" s="71" t="s">
        <v>40</v>
      </c>
      <c r="B3" s="104">
        <f>'Total Awards'!E33</f>
        <v>104</v>
      </c>
      <c r="C3" s="89">
        <v>32</v>
      </c>
      <c r="D3" s="89">
        <v>35</v>
      </c>
      <c r="E3" s="89">
        <v>37</v>
      </c>
      <c r="F3" s="86">
        <f>SUM(E16:E17)/4</f>
        <v>91.290180000000007</v>
      </c>
      <c r="G3" s="89"/>
      <c r="H3" s="89"/>
      <c r="I3" s="89"/>
      <c r="J3" s="90"/>
      <c r="K3" s="233"/>
      <c r="L3" s="233"/>
      <c r="M3" s="233"/>
      <c r="N3" s="90"/>
      <c r="O3" s="89"/>
      <c r="P3" s="89"/>
      <c r="Q3" s="89"/>
      <c r="R3" s="90"/>
    </row>
    <row r="4" spans="1:18" x14ac:dyDescent="0.2">
      <c r="A4" s="41" t="s">
        <v>91</v>
      </c>
      <c r="B4" s="104">
        <f>'Total Awards'!F33</f>
        <v>31</v>
      </c>
      <c r="C4" s="1">
        <v>11</v>
      </c>
      <c r="D4" s="1">
        <v>14</v>
      </c>
      <c r="E4" s="47">
        <v>6</v>
      </c>
      <c r="F4" s="86">
        <f>E15/4</f>
        <v>20.438099999999999</v>
      </c>
      <c r="G4" s="89"/>
      <c r="H4" s="89"/>
      <c r="I4" s="1"/>
      <c r="J4" s="86"/>
      <c r="K4" s="233"/>
      <c r="L4" s="233"/>
      <c r="M4" s="233"/>
      <c r="N4" s="86"/>
      <c r="O4" s="1"/>
      <c r="P4" s="1"/>
      <c r="Q4" s="1"/>
      <c r="R4" s="86"/>
    </row>
    <row r="5" spans="1:18" ht="15" thickBot="1" x14ac:dyDescent="0.25">
      <c r="A5" s="41" t="s">
        <v>90</v>
      </c>
      <c r="B5" s="104">
        <f>'Total Awards'!G33</f>
        <v>49</v>
      </c>
      <c r="C5" s="1">
        <v>17</v>
      </c>
      <c r="D5" s="1">
        <v>18</v>
      </c>
      <c r="E5" s="1">
        <v>14</v>
      </c>
      <c r="F5" s="86">
        <f>E18/4</f>
        <v>24.525719999999996</v>
      </c>
      <c r="G5" s="89"/>
      <c r="H5" s="89"/>
      <c r="I5" s="1"/>
      <c r="J5" s="86"/>
      <c r="K5" s="235"/>
      <c r="L5" s="235"/>
      <c r="M5" s="235"/>
      <c r="N5" s="86"/>
      <c r="O5" s="1"/>
      <c r="P5" s="1"/>
      <c r="Q5" s="1"/>
      <c r="R5" s="86"/>
    </row>
    <row r="6" spans="1:18" ht="15" thickBot="1" x14ac:dyDescent="0.25">
      <c r="A6" s="106" t="s">
        <v>92</v>
      </c>
      <c r="B6" s="107">
        <f t="shared" ref="B6:G6" si="0">SUM(B3:B5)</f>
        <v>184</v>
      </c>
      <c r="C6" s="44">
        <f t="shared" si="0"/>
        <v>60</v>
      </c>
      <c r="D6" s="45">
        <f t="shared" si="0"/>
        <v>67</v>
      </c>
      <c r="E6" s="45">
        <f t="shared" si="0"/>
        <v>57</v>
      </c>
      <c r="F6" s="87">
        <f>SUM(F3:F5)</f>
        <v>136.25400000000002</v>
      </c>
      <c r="G6" s="45">
        <f t="shared" si="0"/>
        <v>0</v>
      </c>
      <c r="H6" s="45">
        <f t="shared" ref="H6:N6" si="1">SUM(H3:H5)</f>
        <v>0</v>
      </c>
      <c r="I6" s="45">
        <f t="shared" si="1"/>
        <v>0</v>
      </c>
      <c r="J6" s="284"/>
      <c r="K6" s="44">
        <f>SUM(K3:K5)</f>
        <v>0</v>
      </c>
      <c r="L6" s="45">
        <f t="shared" ref="L6" si="2">SUM(L3:L5)</f>
        <v>0</v>
      </c>
      <c r="M6" s="286">
        <f t="shared" ref="M6" si="3">SUM(M3:M5)</f>
        <v>0</v>
      </c>
      <c r="N6" s="285">
        <f t="shared" si="1"/>
        <v>0</v>
      </c>
      <c r="O6" s="45">
        <f>SUM(O3:O5)</f>
        <v>0</v>
      </c>
      <c r="P6" s="45">
        <f>SUM(P3:P5)</f>
        <v>0</v>
      </c>
      <c r="Q6" s="45">
        <f>SUM(Q3:Q5)</f>
        <v>0</v>
      </c>
      <c r="R6" s="220">
        <f>SUM(R3:R5)</f>
        <v>0</v>
      </c>
    </row>
    <row r="7" spans="1:18" x14ac:dyDescent="0.2">
      <c r="A7" s="188"/>
      <c r="B7" s="188"/>
      <c r="C7" s="188"/>
      <c r="D7" s="188"/>
      <c r="E7" s="188"/>
      <c r="F7" s="228"/>
      <c r="G7" s="188"/>
      <c r="H7" s="188"/>
      <c r="I7" s="188"/>
      <c r="J7" s="228"/>
      <c r="K7" s="188"/>
      <c r="L7" s="188"/>
      <c r="M7" s="188"/>
      <c r="N7" s="228"/>
      <c r="O7" s="39"/>
      <c r="P7" s="39"/>
      <c r="Q7" s="39"/>
      <c r="R7" s="228"/>
    </row>
    <row r="8" spans="1:18" x14ac:dyDescent="0.2">
      <c r="A8" s="229" t="s">
        <v>182</v>
      </c>
      <c r="B8" s="39"/>
      <c r="C8" s="39"/>
      <c r="D8" s="39"/>
      <c r="E8" s="39"/>
      <c r="F8" s="39"/>
      <c r="G8" s="39"/>
      <c r="H8" s="39"/>
      <c r="I8" s="39"/>
      <c r="J8" s="39"/>
      <c r="K8" s="229"/>
      <c r="L8" s="229"/>
      <c r="M8" s="229"/>
      <c r="N8" s="39"/>
      <c r="O8" s="39"/>
      <c r="P8" s="39"/>
      <c r="Q8" s="39"/>
      <c r="R8" s="39"/>
    </row>
    <row r="9" spans="1:18" x14ac:dyDescent="0.2">
      <c r="A9" s="229"/>
      <c r="B9" s="39"/>
      <c r="C9" s="39"/>
      <c r="D9" s="39"/>
      <c r="E9" s="39"/>
      <c r="F9" s="39"/>
      <c r="G9" s="39"/>
      <c r="H9" s="39"/>
      <c r="I9" s="39"/>
      <c r="J9" s="39"/>
      <c r="K9" s="229"/>
      <c r="L9" s="229"/>
      <c r="M9" s="229"/>
      <c r="N9" s="39"/>
      <c r="O9" s="39"/>
      <c r="P9" s="39"/>
      <c r="Q9" s="39"/>
      <c r="R9" s="39"/>
    </row>
    <row r="10" spans="1:18" x14ac:dyDescent="0.2">
      <c r="A10" s="229"/>
      <c r="B10" s="39"/>
      <c r="C10" s="39"/>
      <c r="D10" s="39"/>
      <c r="E10" s="39"/>
      <c r="F10" s="39"/>
      <c r="G10" s="39"/>
      <c r="H10" s="39"/>
      <c r="I10" s="39"/>
      <c r="J10" s="39"/>
      <c r="K10" s="229"/>
      <c r="L10" s="229"/>
      <c r="M10" s="229"/>
      <c r="N10" s="39"/>
      <c r="O10" s="39"/>
      <c r="P10" s="39"/>
      <c r="Q10" s="39"/>
      <c r="R10" s="39"/>
    </row>
    <row r="11" spans="1:18" x14ac:dyDescent="0.2">
      <c r="A11" s="57" t="s">
        <v>119</v>
      </c>
      <c r="B11" s="5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5.75" x14ac:dyDescent="0.25">
      <c r="A12" s="51" t="s">
        <v>116</v>
      </c>
      <c r="B12" s="51"/>
    </row>
    <row r="13" spans="1:18" ht="15" thickBot="1" x14ac:dyDescent="0.25">
      <c r="A13" t="s">
        <v>245</v>
      </c>
    </row>
    <row r="14" spans="1:18" ht="43.5" thickBot="1" x14ac:dyDescent="0.25">
      <c r="A14" s="381" t="s">
        <v>107</v>
      </c>
      <c r="B14" s="382"/>
      <c r="C14" s="95" t="s">
        <v>108</v>
      </c>
      <c r="D14" s="95" t="s">
        <v>109</v>
      </c>
      <c r="E14" s="95" t="s">
        <v>115</v>
      </c>
      <c r="F14" s="96" t="s">
        <v>117</v>
      </c>
      <c r="I14" s="359"/>
      <c r="J14" s="88" t="s">
        <v>234</v>
      </c>
      <c r="K14" t="s">
        <v>247</v>
      </c>
      <c r="L14" t="s">
        <v>248</v>
      </c>
      <c r="N14" s="359" t="s">
        <v>246</v>
      </c>
    </row>
    <row r="15" spans="1:18" ht="28.5" customHeight="1" x14ac:dyDescent="0.2">
      <c r="A15" s="383" t="s">
        <v>110</v>
      </c>
      <c r="B15" s="384"/>
      <c r="C15" s="53">
        <v>0.15</v>
      </c>
      <c r="D15" s="360">
        <f>136254*C15</f>
        <v>20438.099999999999</v>
      </c>
      <c r="E15" s="56">
        <f>D15/250</f>
        <v>81.752399999999994</v>
      </c>
      <c r="F15" s="59">
        <f>D15/4</f>
        <v>5109.5249999999996</v>
      </c>
      <c r="I15" s="88"/>
      <c r="J15" s="88">
        <f>218/703</f>
        <v>0.31009957325746801</v>
      </c>
      <c r="K15" s="88">
        <f>90/703</f>
        <v>0.12802275960170698</v>
      </c>
      <c r="L15" s="88">
        <f>395/703</f>
        <v>0.56187766714082499</v>
      </c>
      <c r="N15" s="88">
        <f>10/703</f>
        <v>1.422475106685633E-2</v>
      </c>
    </row>
    <row r="16" spans="1:18" ht="28.5" customHeight="1" x14ac:dyDescent="0.2">
      <c r="A16" s="383" t="s">
        <v>111</v>
      </c>
      <c r="B16" s="384"/>
      <c r="C16" s="53">
        <v>0.65</v>
      </c>
      <c r="D16" s="360">
        <f>136254*C16</f>
        <v>88565.1</v>
      </c>
      <c r="E16" s="56">
        <f>D16/250</f>
        <v>354.2604</v>
      </c>
      <c r="F16" s="59">
        <f>D16/4</f>
        <v>22141.275000000001</v>
      </c>
      <c r="I16" s="88"/>
      <c r="J16" s="88">
        <f>26165/125571</f>
        <v>0.2083681741803442</v>
      </c>
      <c r="K16" s="88">
        <f>24900/125571</f>
        <v>0.19829419213034857</v>
      </c>
      <c r="L16" s="88">
        <f>74506/125571</f>
        <v>0.59333763368930725</v>
      </c>
      <c r="N16" s="88">
        <f>703/125571</f>
        <v>5.598426388258435E-3</v>
      </c>
    </row>
    <row r="17" spans="1:18" x14ac:dyDescent="0.2">
      <c r="A17" s="383" t="s">
        <v>112</v>
      </c>
      <c r="B17" s="384"/>
      <c r="C17" s="357">
        <v>0.02</v>
      </c>
      <c r="D17" s="360">
        <f>136254*C17</f>
        <v>2725.08</v>
      </c>
      <c r="E17" s="56">
        <f>D17/250</f>
        <v>10.900319999999999</v>
      </c>
      <c r="F17" s="59">
        <f>D17/4</f>
        <v>681.27</v>
      </c>
    </row>
    <row r="18" spans="1:18" ht="29.25" customHeight="1" thickBot="1" x14ac:dyDescent="0.25">
      <c r="A18" s="385" t="s">
        <v>113</v>
      </c>
      <c r="B18" s="386"/>
      <c r="C18" s="358">
        <v>0.18</v>
      </c>
      <c r="D18" s="361">
        <f>136254*C18</f>
        <v>24525.719999999998</v>
      </c>
      <c r="E18" s="63">
        <f>D18/250</f>
        <v>98.102879999999985</v>
      </c>
      <c r="F18" s="64">
        <f>D18/4</f>
        <v>6131.4299999999994</v>
      </c>
    </row>
    <row r="19" spans="1:18" ht="15.75" thickBot="1" x14ac:dyDescent="0.3">
      <c r="A19" s="379" t="s">
        <v>114</v>
      </c>
      <c r="B19" s="380"/>
      <c r="C19" s="363">
        <f>SUM(C15:C18)</f>
        <v>1</v>
      </c>
      <c r="D19" s="362">
        <f>SUM(D15:D18)</f>
        <v>136254</v>
      </c>
      <c r="E19" s="68">
        <f>SUM(E15:E18)</f>
        <v>545.01599999999996</v>
      </c>
      <c r="F19" s="69">
        <f>SUM(F15:F18)</f>
        <v>34063.5</v>
      </c>
    </row>
    <row r="20" spans="1:18" ht="15" x14ac:dyDescent="0.25">
      <c r="A20" s="180"/>
      <c r="B20" s="180"/>
      <c r="C20" s="181"/>
      <c r="D20" s="182"/>
      <c r="E20" s="182"/>
      <c r="F20" s="182"/>
    </row>
    <row r="21" spans="1:18" x14ac:dyDescent="0.2">
      <c r="A21" s="39"/>
      <c r="B21" s="39"/>
      <c r="C21" s="39"/>
      <c r="D21" s="39"/>
      <c r="E21" s="39"/>
      <c r="F21" s="39"/>
      <c r="G21" s="39"/>
      <c r="H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57.75" thickBot="1" x14ac:dyDescent="0.25">
      <c r="A22" s="70" t="s">
        <v>120</v>
      </c>
      <c r="B22" s="70"/>
      <c r="C22" s="39"/>
      <c r="D22" s="39"/>
      <c r="E22" s="39"/>
      <c r="F22" s="39"/>
      <c r="G22" s="39"/>
      <c r="H22" s="39"/>
      <c r="I22" s="39"/>
      <c r="J22" s="39"/>
      <c r="K22" s="252" t="s">
        <v>194</v>
      </c>
      <c r="L22" s="252" t="s">
        <v>194</v>
      </c>
      <c r="M22" s="252" t="s">
        <v>194</v>
      </c>
      <c r="N22" s="39"/>
      <c r="O22" s="252" t="s">
        <v>194</v>
      </c>
      <c r="P22" s="252" t="s">
        <v>194</v>
      </c>
      <c r="Q22" s="252" t="s">
        <v>194</v>
      </c>
      <c r="R22" s="39"/>
    </row>
    <row r="23" spans="1:18" ht="29.25" thickBot="1" x14ac:dyDescent="0.25">
      <c r="A23" s="97" t="s">
        <v>100</v>
      </c>
      <c r="B23" s="103" t="s">
        <v>138</v>
      </c>
      <c r="C23" s="92" t="s">
        <v>239</v>
      </c>
      <c r="D23" s="92" t="s">
        <v>240</v>
      </c>
      <c r="E23" s="92" t="s">
        <v>241</v>
      </c>
      <c r="F23" s="93" t="s">
        <v>125</v>
      </c>
      <c r="G23" s="92" t="s">
        <v>122</v>
      </c>
      <c r="H23" s="92" t="s">
        <v>123</v>
      </c>
      <c r="I23" s="92" t="s">
        <v>124</v>
      </c>
      <c r="J23" s="93" t="s">
        <v>126</v>
      </c>
      <c r="K23" s="92" t="s">
        <v>128</v>
      </c>
      <c r="L23" s="92" t="s">
        <v>129</v>
      </c>
      <c r="M23" s="92" t="s">
        <v>130</v>
      </c>
      <c r="N23" s="93" t="s">
        <v>127</v>
      </c>
      <c r="O23" s="92" t="s">
        <v>132</v>
      </c>
      <c r="P23" s="92" t="s">
        <v>133</v>
      </c>
      <c r="Q23" s="92" t="s">
        <v>136</v>
      </c>
      <c r="R23" s="94" t="s">
        <v>131</v>
      </c>
    </row>
    <row r="24" spans="1:18" x14ac:dyDescent="0.2">
      <c r="A24" s="71" t="s">
        <v>93</v>
      </c>
      <c r="B24" s="242">
        <f>C24+D24+E24+G24+H24+I24+K24+L24+M24+O24+P24+Q24</f>
        <v>54</v>
      </c>
      <c r="C24" s="89">
        <v>20</v>
      </c>
      <c r="D24" s="89">
        <v>20</v>
      </c>
      <c r="E24" s="89">
        <v>14</v>
      </c>
      <c r="F24" s="73">
        <f>E34</f>
        <v>31.338420000000003</v>
      </c>
      <c r="G24" s="244"/>
      <c r="H24" s="244"/>
      <c r="I24" s="244"/>
      <c r="J24" s="73">
        <f>E34</f>
        <v>31.338420000000003</v>
      </c>
      <c r="K24" s="89"/>
      <c r="L24" s="89"/>
      <c r="M24" s="89"/>
      <c r="N24" s="72">
        <f>E34</f>
        <v>31.338420000000003</v>
      </c>
      <c r="O24" s="89"/>
      <c r="P24" s="89"/>
      <c r="Q24" s="89"/>
      <c r="R24" s="100">
        <f>E34</f>
        <v>31.338420000000003</v>
      </c>
    </row>
    <row r="25" spans="1:18" x14ac:dyDescent="0.2">
      <c r="A25" s="41" t="s">
        <v>94</v>
      </c>
      <c r="B25" s="242">
        <f>C25+D25+E25+G25+H25+I25+K25+L25+M25+O25+P25+Q25</f>
        <v>23</v>
      </c>
      <c r="C25" s="1">
        <v>9</v>
      </c>
      <c r="D25" s="1">
        <v>7</v>
      </c>
      <c r="E25" s="89">
        <v>7</v>
      </c>
      <c r="F25" s="73">
        <f t="shared" ref="F25:F28" si="4">E35</f>
        <v>19.075560000000003</v>
      </c>
      <c r="G25" s="245"/>
      <c r="H25" s="245"/>
      <c r="I25" s="245"/>
      <c r="J25" s="73">
        <f t="shared" ref="J25:J28" si="5">E35</f>
        <v>19.075560000000003</v>
      </c>
      <c r="K25" s="1"/>
      <c r="L25" s="1"/>
      <c r="M25" s="1"/>
      <c r="N25" s="72">
        <f t="shared" ref="N25:N28" si="6">E35</f>
        <v>19.075560000000003</v>
      </c>
      <c r="O25" s="1"/>
      <c r="P25" s="1"/>
      <c r="Q25" s="1"/>
      <c r="R25" s="100">
        <f t="shared" ref="R25:R28" si="7">E35</f>
        <v>19.075560000000003</v>
      </c>
    </row>
    <row r="26" spans="1:18" x14ac:dyDescent="0.2">
      <c r="A26" s="41" t="s">
        <v>95</v>
      </c>
      <c r="B26" s="242">
        <f>C26+D26+E26+G26+H26+I26+K26+L26+M26+O26+P26+Q26</f>
        <v>53</v>
      </c>
      <c r="C26" s="1">
        <v>19</v>
      </c>
      <c r="D26" s="1">
        <v>21</v>
      </c>
      <c r="E26" s="89">
        <v>13</v>
      </c>
      <c r="F26" s="73">
        <f t="shared" si="4"/>
        <v>34.063499999999998</v>
      </c>
      <c r="G26" s="245"/>
      <c r="H26" s="245"/>
      <c r="I26" s="245"/>
      <c r="J26" s="73">
        <f t="shared" si="5"/>
        <v>34.063499999999998</v>
      </c>
      <c r="K26" s="1"/>
      <c r="L26" s="1"/>
      <c r="M26" s="1"/>
      <c r="N26" s="72">
        <f t="shared" si="6"/>
        <v>34.063499999999998</v>
      </c>
      <c r="O26" s="1"/>
      <c r="P26" s="1"/>
      <c r="Q26" s="1"/>
      <c r="R26" s="100">
        <f t="shared" si="7"/>
        <v>34.063499999999998</v>
      </c>
    </row>
    <row r="27" spans="1:18" x14ac:dyDescent="0.2">
      <c r="A27" s="41" t="s">
        <v>96</v>
      </c>
      <c r="B27" s="242">
        <f>C27+D27+E27+G27+H27+I27+K27+L27+M27+O27+P27+Q27</f>
        <v>24</v>
      </c>
      <c r="C27" s="1">
        <v>8</v>
      </c>
      <c r="D27" s="1">
        <v>7</v>
      </c>
      <c r="E27" s="89">
        <v>9</v>
      </c>
      <c r="F27" s="73">
        <f t="shared" si="4"/>
        <v>17.71302</v>
      </c>
      <c r="G27" s="245"/>
      <c r="H27" s="245"/>
      <c r="I27" s="245"/>
      <c r="J27" s="73">
        <f t="shared" si="5"/>
        <v>17.71302</v>
      </c>
      <c r="K27" s="1"/>
      <c r="L27" s="1"/>
      <c r="M27" s="1"/>
      <c r="N27" s="72">
        <f t="shared" si="6"/>
        <v>17.71302</v>
      </c>
      <c r="O27" s="1"/>
      <c r="P27" s="1"/>
      <c r="Q27" s="1"/>
      <c r="R27" s="100">
        <f t="shared" si="7"/>
        <v>17.71302</v>
      </c>
    </row>
    <row r="28" spans="1:18" x14ac:dyDescent="0.2">
      <c r="A28" s="41" t="s">
        <v>97</v>
      </c>
      <c r="B28" s="242">
        <f>C28+D28+E28+G28+H28+I28+K28+L28+M28+O28+P28+Q28</f>
        <v>18</v>
      </c>
      <c r="C28" s="1">
        <v>3</v>
      </c>
      <c r="D28" s="1">
        <v>10</v>
      </c>
      <c r="E28" s="89">
        <v>5</v>
      </c>
      <c r="F28" s="73">
        <f t="shared" si="4"/>
        <v>34.063499999999998</v>
      </c>
      <c r="G28" s="245"/>
      <c r="H28" s="245"/>
      <c r="I28" s="245"/>
      <c r="J28" s="73">
        <f t="shared" si="5"/>
        <v>34.063499999999998</v>
      </c>
      <c r="K28" s="1"/>
      <c r="L28" s="1"/>
      <c r="M28" s="1"/>
      <c r="N28" s="72">
        <f t="shared" si="6"/>
        <v>34.063499999999998</v>
      </c>
      <c r="O28" s="1"/>
      <c r="P28" s="1"/>
      <c r="Q28" s="1"/>
      <c r="R28" s="100">
        <f t="shared" si="7"/>
        <v>34.063499999999998</v>
      </c>
    </row>
    <row r="29" spans="1:18" ht="15" thickBot="1" x14ac:dyDescent="0.25">
      <c r="A29" s="43"/>
      <c r="B29" s="243"/>
      <c r="C29" s="40"/>
      <c r="D29" s="40"/>
      <c r="E29" s="40"/>
      <c r="F29" s="98"/>
      <c r="G29" s="210"/>
      <c r="H29" s="210"/>
      <c r="I29" s="210"/>
      <c r="J29" s="98"/>
      <c r="K29" s="40"/>
      <c r="L29" s="40"/>
      <c r="M29" s="40"/>
      <c r="N29" s="101"/>
      <c r="O29" s="40"/>
      <c r="P29" s="40"/>
      <c r="Q29" s="40"/>
      <c r="R29" s="102"/>
    </row>
    <row r="30" spans="1:18" ht="15" thickBot="1" x14ac:dyDescent="0.25">
      <c r="A30" s="106" t="s">
        <v>98</v>
      </c>
      <c r="B30" s="205">
        <f>SUM(B24:B29)</f>
        <v>172</v>
      </c>
      <c r="C30" s="105">
        <f>SUM(C24:C29)</f>
        <v>59</v>
      </c>
      <c r="D30" s="45">
        <f>SUM(D24:D29)</f>
        <v>65</v>
      </c>
      <c r="E30" s="85">
        <f>SUM(E24:E29)</f>
        <v>48</v>
      </c>
      <c r="F30" s="99">
        <f>E39</f>
        <v>136.25400000000002</v>
      </c>
      <c r="G30" s="44">
        <f>SUM(G24:G29)</f>
        <v>0</v>
      </c>
      <c r="H30" s="44">
        <f>SUM(H24:H29)</f>
        <v>0</v>
      </c>
      <c r="I30" s="44">
        <f>SUM(I24:I29)</f>
        <v>0</v>
      </c>
      <c r="J30" s="110">
        <f>E39</f>
        <v>136.25400000000002</v>
      </c>
      <c r="K30" s="45">
        <f>SUM(K24:K29)</f>
        <v>0</v>
      </c>
      <c r="L30" s="45">
        <f>SUM(L24:L29)</f>
        <v>0</v>
      </c>
      <c r="M30" s="45">
        <f>SUM(M24:M29)</f>
        <v>0</v>
      </c>
      <c r="N30" s="109">
        <f>E39</f>
        <v>136.25400000000002</v>
      </c>
      <c r="O30" s="45">
        <f>SUM(O24:O28)</f>
        <v>0</v>
      </c>
      <c r="P30" s="45">
        <f>SUM(P24:P28)</f>
        <v>0</v>
      </c>
      <c r="Q30" s="45">
        <f>SUM(Q24:Q28)</f>
        <v>0</v>
      </c>
      <c r="R30" s="50">
        <f>E39</f>
        <v>136.25400000000002</v>
      </c>
    </row>
    <row r="31" spans="1:18" x14ac:dyDescent="0.2">
      <c r="G31" s="325"/>
      <c r="H31" s="153"/>
      <c r="I31" s="243"/>
    </row>
    <row r="32" spans="1:18" ht="15" thickBot="1" x14ac:dyDescent="0.25">
      <c r="A32" s="2" t="s">
        <v>121</v>
      </c>
      <c r="B32" s="2"/>
    </row>
    <row r="33" spans="1:9" ht="29.25" thickBot="1" x14ac:dyDescent="0.25">
      <c r="A33" s="373" t="s">
        <v>103</v>
      </c>
      <c r="B33" s="374"/>
      <c r="C33" s="95" t="s">
        <v>102</v>
      </c>
      <c r="D33" s="95" t="s">
        <v>104</v>
      </c>
      <c r="E33" s="96" t="s">
        <v>105</v>
      </c>
      <c r="F33" s="81"/>
    </row>
    <row r="34" spans="1:9" x14ac:dyDescent="0.2">
      <c r="A34" s="375" t="s">
        <v>93</v>
      </c>
      <c r="B34" s="376"/>
      <c r="C34" s="365">
        <f>C39*23%</f>
        <v>31338.420000000002</v>
      </c>
      <c r="D34" s="72">
        <f>C34/250</f>
        <v>125.35368000000001</v>
      </c>
      <c r="E34" s="73">
        <f>D34/4</f>
        <v>31.338420000000003</v>
      </c>
      <c r="F34" s="364"/>
      <c r="H34" s="88"/>
    </row>
    <row r="35" spans="1:9" x14ac:dyDescent="0.2">
      <c r="A35" s="377" t="s">
        <v>94</v>
      </c>
      <c r="B35" s="378"/>
      <c r="C35" s="48">
        <f>C39*14%</f>
        <v>19075.560000000001</v>
      </c>
      <c r="D35" s="47">
        <f>C35/250</f>
        <v>76.302240000000012</v>
      </c>
      <c r="E35" s="49">
        <f>D35/4</f>
        <v>19.075560000000003</v>
      </c>
      <c r="F35" s="364"/>
      <c r="H35" s="88"/>
    </row>
    <row r="36" spans="1:9" x14ac:dyDescent="0.2">
      <c r="A36" s="377" t="s">
        <v>95</v>
      </c>
      <c r="B36" s="378"/>
      <c r="C36" s="48">
        <f>C39*25%</f>
        <v>34063.5</v>
      </c>
      <c r="D36" s="47">
        <f>C36/250</f>
        <v>136.25399999999999</v>
      </c>
      <c r="E36" s="49">
        <f>D36/4</f>
        <v>34.063499999999998</v>
      </c>
      <c r="F36" s="364"/>
      <c r="H36" s="88"/>
    </row>
    <row r="37" spans="1:9" x14ac:dyDescent="0.2">
      <c r="A37" s="377" t="s">
        <v>96</v>
      </c>
      <c r="B37" s="378"/>
      <c r="C37" s="366">
        <f>C39*13%</f>
        <v>17713.02</v>
      </c>
      <c r="D37" s="47">
        <f>C37/250</f>
        <v>70.852080000000001</v>
      </c>
      <c r="E37" s="49">
        <f t="shared" ref="E37:E38" si="8">D37/4</f>
        <v>17.71302</v>
      </c>
      <c r="F37" s="364"/>
      <c r="H37" s="88"/>
    </row>
    <row r="38" spans="1:9" ht="15" thickBot="1" x14ac:dyDescent="0.25">
      <c r="A38" s="377" t="s">
        <v>101</v>
      </c>
      <c r="B38" s="378"/>
      <c r="C38" s="366">
        <f>C39*25%</f>
        <v>34063.5</v>
      </c>
      <c r="D38" s="47">
        <f>C38/250</f>
        <v>136.25399999999999</v>
      </c>
      <c r="E38" s="49">
        <f t="shared" si="8"/>
        <v>34.063499999999998</v>
      </c>
      <c r="F38" s="364"/>
      <c r="H38" s="88"/>
    </row>
    <row r="39" spans="1:9" ht="15" thickBot="1" x14ac:dyDescent="0.25">
      <c r="A39" s="371" t="s">
        <v>106</v>
      </c>
      <c r="B39" s="372"/>
      <c r="C39" s="108">
        <v>136254</v>
      </c>
      <c r="D39" s="109">
        <f>SUM(D34:D38)</f>
        <v>545.01600000000008</v>
      </c>
      <c r="E39" s="110">
        <f>SUM(E34:E38)</f>
        <v>136.25400000000002</v>
      </c>
      <c r="F39" s="364"/>
      <c r="H39" s="88"/>
    </row>
    <row r="40" spans="1:9" x14ac:dyDescent="0.2">
      <c r="A40" s="184"/>
      <c r="B40" s="184"/>
      <c r="C40" s="185"/>
      <c r="D40" s="137"/>
      <c r="E40" s="137"/>
      <c r="F40" s="82"/>
      <c r="H40" s="88"/>
    </row>
    <row r="41" spans="1:9" ht="28.5" x14ac:dyDescent="0.2">
      <c r="A41" s="236" t="s">
        <v>192</v>
      </c>
      <c r="B41" s="368"/>
      <c r="C41" s="369"/>
      <c r="H41" s="183"/>
    </row>
    <row r="42" spans="1:9" x14ac:dyDescent="0.2">
      <c r="A42" s="1">
        <f>B24</f>
        <v>54</v>
      </c>
      <c r="B42" s="186">
        <f>A42/B30</f>
        <v>0.31395348837209303</v>
      </c>
      <c r="C42" s="1" t="s">
        <v>93</v>
      </c>
    </row>
    <row r="43" spans="1:9" x14ac:dyDescent="0.2">
      <c r="A43" s="1">
        <f>B25</f>
        <v>23</v>
      </c>
      <c r="B43" s="186">
        <f>A43/B30</f>
        <v>0.13372093023255813</v>
      </c>
      <c r="C43" s="1" t="s">
        <v>94</v>
      </c>
      <c r="I43" s="88"/>
    </row>
    <row r="44" spans="1:9" x14ac:dyDescent="0.2">
      <c r="A44" s="1">
        <f>B26</f>
        <v>53</v>
      </c>
      <c r="B44" s="186">
        <f>A44/B30</f>
        <v>0.30813953488372092</v>
      </c>
      <c r="C44" s="1" t="s">
        <v>95</v>
      </c>
      <c r="I44" s="88"/>
    </row>
    <row r="45" spans="1:9" x14ac:dyDescent="0.2">
      <c r="A45" s="1">
        <f>B27</f>
        <v>24</v>
      </c>
      <c r="B45" s="186">
        <f>B27/B30</f>
        <v>0.13953488372093023</v>
      </c>
      <c r="C45" s="1" t="s">
        <v>96</v>
      </c>
    </row>
    <row r="46" spans="1:9" x14ac:dyDescent="0.2">
      <c r="A46" s="1">
        <f>B28</f>
        <v>18</v>
      </c>
      <c r="B46" s="186">
        <f>A46/B30</f>
        <v>0.10465116279069768</v>
      </c>
      <c r="C46" s="1" t="s">
        <v>97</v>
      </c>
    </row>
    <row r="47" spans="1:9" x14ac:dyDescent="0.2">
      <c r="A47" s="1"/>
      <c r="B47" s="1"/>
      <c r="C47" s="1"/>
    </row>
    <row r="48" spans="1:9" x14ac:dyDescent="0.2">
      <c r="A48" s="29">
        <f>SUM(A42:A47)</f>
        <v>172</v>
      </c>
      <c r="B48" s="246">
        <f>SUM(B42:B47)</f>
        <v>1</v>
      </c>
      <c r="C48" s="29" t="s">
        <v>92</v>
      </c>
    </row>
    <row r="49" spans="1:9" x14ac:dyDescent="0.2">
      <c r="A49" s="188"/>
      <c r="B49" s="249"/>
      <c r="C49" s="188"/>
    </row>
    <row r="50" spans="1:9" x14ac:dyDescent="0.2">
      <c r="A50" s="29" t="s">
        <v>191</v>
      </c>
      <c r="B50" s="368" t="s">
        <v>203</v>
      </c>
      <c r="C50" s="369"/>
      <c r="D50" s="188"/>
      <c r="F50" s="188"/>
      <c r="G50" s="310"/>
      <c r="H50" s="184"/>
      <c r="I50" s="184"/>
    </row>
    <row r="51" spans="1:9" x14ac:dyDescent="0.2">
      <c r="A51" s="1">
        <v>54</v>
      </c>
      <c r="B51" s="186">
        <v>0.31395348837209303</v>
      </c>
      <c r="C51" s="1" t="s">
        <v>93</v>
      </c>
      <c r="D51" s="188"/>
      <c r="F51" s="310"/>
      <c r="G51" s="310"/>
      <c r="H51" s="184"/>
      <c r="I51" s="184"/>
    </row>
    <row r="52" spans="1:9" x14ac:dyDescent="0.2">
      <c r="A52" s="1">
        <v>23</v>
      </c>
      <c r="B52" s="186">
        <v>0.13372093023255813</v>
      </c>
      <c r="C52" s="1" t="s">
        <v>94</v>
      </c>
      <c r="D52" s="188"/>
      <c r="F52" s="188"/>
      <c r="G52" s="310"/>
      <c r="H52" s="184"/>
      <c r="I52" s="184"/>
    </row>
    <row r="53" spans="1:9" x14ac:dyDescent="0.2">
      <c r="A53" s="1">
        <v>53</v>
      </c>
      <c r="B53" s="186">
        <v>0.30813953488372092</v>
      </c>
      <c r="C53" s="312" t="s">
        <v>95</v>
      </c>
      <c r="D53" s="188"/>
      <c r="F53" s="188"/>
      <c r="G53" s="310"/>
      <c r="H53" s="184"/>
      <c r="I53" s="184"/>
    </row>
    <row r="54" spans="1:9" x14ac:dyDescent="0.2">
      <c r="A54" s="1">
        <v>24</v>
      </c>
      <c r="B54" s="186">
        <v>0.13953488372093023</v>
      </c>
      <c r="C54" s="312" t="s">
        <v>96</v>
      </c>
      <c r="D54" s="188"/>
      <c r="F54" s="188"/>
      <c r="G54" s="310"/>
      <c r="H54" s="184"/>
      <c r="I54" s="184"/>
    </row>
    <row r="55" spans="1:9" x14ac:dyDescent="0.2">
      <c r="A55" s="1">
        <v>18</v>
      </c>
      <c r="B55" s="186">
        <v>0.10465116279069768</v>
      </c>
      <c r="C55" s="312" t="s">
        <v>97</v>
      </c>
      <c r="D55" s="188"/>
      <c r="F55" s="188"/>
      <c r="G55" s="310"/>
      <c r="H55" s="184"/>
      <c r="I55" s="184"/>
    </row>
    <row r="56" spans="1:9" x14ac:dyDescent="0.2">
      <c r="A56" s="1"/>
      <c r="B56" s="1"/>
      <c r="C56" s="313" t="s">
        <v>92</v>
      </c>
      <c r="D56" s="188"/>
      <c r="F56" s="188" t="s">
        <v>242</v>
      </c>
      <c r="G56" s="310"/>
      <c r="H56" s="184"/>
      <c r="I56" s="184"/>
    </row>
    <row r="57" spans="1:9" x14ac:dyDescent="0.2">
      <c r="A57" s="29">
        <v>172</v>
      </c>
      <c r="B57" s="246">
        <v>1</v>
      </c>
      <c r="C57" s="314"/>
      <c r="D57" s="188"/>
      <c r="F57" s="188"/>
      <c r="G57" s="310"/>
      <c r="H57" s="184"/>
      <c r="I57" s="184"/>
    </row>
    <row r="58" spans="1:9" x14ac:dyDescent="0.2">
      <c r="A58" s="29" t="s">
        <v>191</v>
      </c>
      <c r="B58" s="368" t="s">
        <v>204</v>
      </c>
      <c r="C58" s="369"/>
      <c r="D58" s="188"/>
      <c r="F58" s="188"/>
      <c r="G58" s="310"/>
      <c r="H58" s="184"/>
      <c r="I58" s="184"/>
    </row>
    <row r="59" spans="1:9" x14ac:dyDescent="0.2">
      <c r="A59" s="1"/>
      <c r="B59" s="186"/>
      <c r="C59" s="1" t="s">
        <v>93</v>
      </c>
      <c r="D59" s="188"/>
      <c r="F59" s="188"/>
      <c r="G59" s="310"/>
      <c r="H59" s="184"/>
      <c r="I59" s="184"/>
    </row>
    <row r="60" spans="1:9" x14ac:dyDescent="0.2">
      <c r="A60" s="1"/>
      <c r="B60" s="186"/>
      <c r="C60" s="1" t="s">
        <v>94</v>
      </c>
      <c r="D60" s="188"/>
      <c r="F60" s="188"/>
      <c r="G60" s="310"/>
      <c r="H60" s="184"/>
      <c r="I60" s="184"/>
    </row>
    <row r="61" spans="1:9" x14ac:dyDescent="0.2">
      <c r="A61" s="1"/>
      <c r="B61" s="186"/>
      <c r="C61" s="312" t="s">
        <v>95</v>
      </c>
      <c r="D61" s="188"/>
      <c r="F61" s="188"/>
      <c r="G61" s="310"/>
      <c r="H61" s="184"/>
      <c r="I61" s="184"/>
    </row>
    <row r="62" spans="1:9" x14ac:dyDescent="0.2">
      <c r="A62" s="1"/>
      <c r="B62" s="186"/>
      <c r="C62" s="312" t="s">
        <v>96</v>
      </c>
      <c r="D62" s="188"/>
      <c r="F62" s="188"/>
      <c r="G62" s="310"/>
      <c r="H62" s="184"/>
      <c r="I62" s="184"/>
    </row>
    <row r="63" spans="1:9" x14ac:dyDescent="0.2">
      <c r="A63" s="1"/>
      <c r="B63" s="186"/>
      <c r="C63" s="312" t="s">
        <v>97</v>
      </c>
      <c r="D63" s="188"/>
      <c r="F63" s="188"/>
      <c r="G63" s="310"/>
      <c r="H63" s="184"/>
      <c r="I63" s="184"/>
    </row>
    <row r="64" spans="1:9" x14ac:dyDescent="0.2">
      <c r="A64" s="29">
        <f>SUM(A59:A63)</f>
        <v>0</v>
      </c>
      <c r="B64" s="247">
        <f>SUM(B59:B63)</f>
        <v>0</v>
      </c>
      <c r="C64" s="313" t="s">
        <v>92</v>
      </c>
      <c r="D64" s="188"/>
      <c r="F64" s="188"/>
      <c r="G64" s="310"/>
      <c r="H64" s="184"/>
      <c r="I64" s="184"/>
    </row>
    <row r="65" spans="1:9" x14ac:dyDescent="0.2">
      <c r="A65" s="188"/>
      <c r="B65" s="310"/>
      <c r="C65" s="314"/>
      <c r="D65" s="188"/>
      <c r="F65" s="188"/>
      <c r="G65" s="310"/>
      <c r="H65" s="184"/>
      <c r="I65" s="184"/>
    </row>
    <row r="66" spans="1:9" x14ac:dyDescent="0.2">
      <c r="A66" s="29" t="s">
        <v>191</v>
      </c>
      <c r="B66" s="368" t="s">
        <v>201</v>
      </c>
      <c r="C66" s="369"/>
      <c r="D66" s="188"/>
      <c r="F66" s="188"/>
      <c r="G66" s="310"/>
      <c r="H66" s="184"/>
      <c r="I66" s="184"/>
    </row>
    <row r="67" spans="1:9" x14ac:dyDescent="0.2">
      <c r="A67" s="1"/>
      <c r="B67" s="186"/>
      <c r="C67" s="1" t="s">
        <v>93</v>
      </c>
      <c r="D67" s="188"/>
      <c r="F67" s="188"/>
      <c r="G67" s="310"/>
      <c r="H67" s="184"/>
      <c r="I67" s="184"/>
    </row>
    <row r="68" spans="1:9" x14ac:dyDescent="0.2">
      <c r="A68" s="1"/>
      <c r="B68" s="186"/>
      <c r="C68" s="1" t="s">
        <v>94</v>
      </c>
      <c r="D68" s="188"/>
      <c r="F68" s="188"/>
      <c r="G68" s="310"/>
      <c r="H68" s="184"/>
      <c r="I68" s="184"/>
    </row>
    <row r="69" spans="1:9" x14ac:dyDescent="0.2">
      <c r="A69" s="1"/>
      <c r="B69" s="186"/>
      <c r="C69" s="312" t="s">
        <v>95</v>
      </c>
      <c r="D69" s="188"/>
      <c r="F69" s="188"/>
      <c r="G69" s="310"/>
      <c r="H69" s="184"/>
      <c r="I69" s="184"/>
    </row>
    <row r="70" spans="1:9" x14ac:dyDescent="0.2">
      <c r="A70" s="1"/>
      <c r="B70" s="186"/>
      <c r="C70" s="312" t="s">
        <v>96</v>
      </c>
      <c r="D70" s="188"/>
      <c r="F70" s="188"/>
      <c r="G70" s="310"/>
      <c r="H70" s="184"/>
      <c r="I70" s="184"/>
    </row>
    <row r="71" spans="1:9" x14ac:dyDescent="0.2">
      <c r="A71" s="1"/>
      <c r="B71" s="186"/>
      <c r="C71" s="312" t="s">
        <v>97</v>
      </c>
      <c r="D71" s="188"/>
      <c r="F71" s="188"/>
      <c r="G71" s="310"/>
      <c r="H71" s="184"/>
      <c r="I71" s="184"/>
    </row>
    <row r="72" spans="1:9" x14ac:dyDescent="0.2">
      <c r="A72" s="29">
        <f>SUM(A67:A71)</f>
        <v>0</v>
      </c>
      <c r="B72" s="247">
        <f>SUM(B67:B71)</f>
        <v>0</v>
      </c>
      <c r="C72" s="313" t="s">
        <v>92</v>
      </c>
      <c r="D72" s="188"/>
      <c r="F72" s="188"/>
      <c r="G72" s="310"/>
      <c r="H72" s="184"/>
      <c r="I72" s="184"/>
    </row>
    <row r="73" spans="1:9" x14ac:dyDescent="0.2">
      <c r="A73" s="188"/>
      <c r="B73" s="310"/>
      <c r="C73" s="314"/>
      <c r="D73" s="188"/>
      <c r="F73" s="188"/>
      <c r="G73" s="310"/>
      <c r="H73" s="184"/>
      <c r="I73" s="184"/>
    </row>
    <row r="74" spans="1:9" x14ac:dyDescent="0.2">
      <c r="A74" s="29" t="s">
        <v>191</v>
      </c>
      <c r="B74" s="368" t="s">
        <v>207</v>
      </c>
      <c r="C74" s="369"/>
      <c r="D74" s="188"/>
      <c r="F74" s="188"/>
      <c r="G74" s="310"/>
      <c r="H74" s="184"/>
      <c r="I74" s="184"/>
    </row>
    <row r="75" spans="1:9" x14ac:dyDescent="0.2">
      <c r="A75" s="1"/>
      <c r="B75" s="186"/>
      <c r="C75" s="1" t="s">
        <v>93</v>
      </c>
      <c r="D75" s="188"/>
      <c r="F75" s="188"/>
      <c r="G75" s="310"/>
      <c r="H75" s="184"/>
      <c r="I75" s="184"/>
    </row>
    <row r="76" spans="1:9" x14ac:dyDescent="0.2">
      <c r="A76" s="1"/>
      <c r="B76" s="186"/>
      <c r="C76" s="1" t="s">
        <v>94</v>
      </c>
      <c r="D76" s="188"/>
      <c r="F76" s="188"/>
      <c r="G76" s="310"/>
      <c r="H76" s="184"/>
      <c r="I76" s="184"/>
    </row>
    <row r="77" spans="1:9" x14ac:dyDescent="0.2">
      <c r="A77" s="1"/>
      <c r="B77" s="186"/>
      <c r="C77" s="312" t="s">
        <v>95</v>
      </c>
      <c r="D77" s="188"/>
      <c r="F77" s="188"/>
      <c r="G77" s="310"/>
      <c r="H77" s="184"/>
      <c r="I77" s="184"/>
    </row>
    <row r="78" spans="1:9" x14ac:dyDescent="0.2">
      <c r="A78" s="1"/>
      <c r="B78" s="186"/>
      <c r="C78" s="312" t="s">
        <v>96</v>
      </c>
      <c r="D78" s="188"/>
      <c r="F78" s="188"/>
      <c r="G78" s="310"/>
      <c r="H78" s="184"/>
      <c r="I78" s="184"/>
    </row>
    <row r="79" spans="1:9" x14ac:dyDescent="0.2">
      <c r="A79" s="1"/>
      <c r="B79" s="186"/>
      <c r="C79" s="312" t="s">
        <v>97</v>
      </c>
      <c r="D79" s="188"/>
      <c r="F79" s="188"/>
      <c r="G79" s="310"/>
      <c r="H79" s="184"/>
      <c r="I79" s="184"/>
    </row>
    <row r="80" spans="1:9" x14ac:dyDescent="0.2">
      <c r="A80" s="29">
        <f>SUM(A75:A79)</f>
        <v>0</v>
      </c>
      <c r="B80" s="247">
        <f>SUM(B75:B79)</f>
        <v>0</v>
      </c>
      <c r="C80" s="313" t="s">
        <v>92</v>
      </c>
      <c r="D80" s="188"/>
      <c r="F80" s="188"/>
      <c r="G80" s="310"/>
      <c r="H80" s="184"/>
      <c r="I80" s="184"/>
    </row>
    <row r="81" spans="1:9" x14ac:dyDescent="0.2">
      <c r="A81" s="188"/>
      <c r="B81" s="310"/>
      <c r="C81" s="314"/>
      <c r="D81" s="188"/>
      <c r="F81" s="188"/>
      <c r="G81" s="310"/>
      <c r="H81" s="184"/>
      <c r="I81" s="184"/>
    </row>
    <row r="82" spans="1:9" x14ac:dyDescent="0.2">
      <c r="A82" s="2" t="s">
        <v>211</v>
      </c>
      <c r="B82" s="2"/>
      <c r="C82" s="2"/>
      <c r="D82" s="188"/>
    </row>
    <row r="83" spans="1:9" x14ac:dyDescent="0.2">
      <c r="D83" s="188"/>
    </row>
    <row r="84" spans="1:9" ht="42.75" x14ac:dyDescent="0.2">
      <c r="A84" s="236" t="s">
        <v>189</v>
      </c>
      <c r="B84" s="29" t="s">
        <v>188</v>
      </c>
      <c r="C84" s="29" t="s">
        <v>187</v>
      </c>
    </row>
    <row r="85" spans="1:9" x14ac:dyDescent="0.2">
      <c r="A85" s="1" t="s">
        <v>93</v>
      </c>
      <c r="B85" s="1">
        <v>2</v>
      </c>
      <c r="C85" s="186">
        <f>2/24</f>
        <v>8.3333333333333329E-2</v>
      </c>
      <c r="F85" s="2"/>
    </row>
    <row r="86" spans="1:9" x14ac:dyDescent="0.2">
      <c r="A86" s="1" t="s">
        <v>94</v>
      </c>
      <c r="B86" s="1">
        <v>1</v>
      </c>
      <c r="C86" s="186">
        <f>1/24</f>
        <v>4.1666666666666664E-2</v>
      </c>
      <c r="H86" s="370"/>
      <c r="I86" s="370"/>
    </row>
    <row r="87" spans="1:9" x14ac:dyDescent="0.2">
      <c r="A87" s="1" t="s">
        <v>95</v>
      </c>
      <c r="B87" s="1">
        <v>6</v>
      </c>
      <c r="C87" s="186">
        <f>6/24</f>
        <v>0.25</v>
      </c>
      <c r="H87" s="370"/>
      <c r="I87" s="370"/>
    </row>
    <row r="88" spans="1:9" x14ac:dyDescent="0.2">
      <c r="A88" s="1" t="s">
        <v>96</v>
      </c>
      <c r="B88" s="1">
        <v>6</v>
      </c>
      <c r="C88" s="186">
        <f>B88/24</f>
        <v>0.25</v>
      </c>
      <c r="H88" s="370"/>
      <c r="I88" s="370"/>
    </row>
    <row r="89" spans="1:9" x14ac:dyDescent="0.2">
      <c r="A89" s="1" t="s">
        <v>97</v>
      </c>
      <c r="B89" s="1">
        <v>9</v>
      </c>
      <c r="C89" s="186">
        <f>B89/24</f>
        <v>0.375</v>
      </c>
      <c r="H89" s="370"/>
      <c r="I89" s="370"/>
    </row>
    <row r="90" spans="1:9" x14ac:dyDescent="0.2">
      <c r="A90" s="29" t="s">
        <v>98</v>
      </c>
      <c r="B90" s="29">
        <f>SUM(B85:B89)</f>
        <v>24</v>
      </c>
      <c r="C90" s="246">
        <f>SUM(C85:C89)</f>
        <v>1</v>
      </c>
      <c r="H90" s="370"/>
      <c r="I90" s="370"/>
    </row>
    <row r="92" spans="1:9" x14ac:dyDescent="0.2">
      <c r="A92" t="s">
        <v>166</v>
      </c>
    </row>
    <row r="94" spans="1:9" ht="42.75" x14ac:dyDescent="0.2">
      <c r="A94" s="311" t="s">
        <v>190</v>
      </c>
      <c r="B94" s="29" t="s">
        <v>186</v>
      </c>
      <c r="C94" s="29" t="s">
        <v>187</v>
      </c>
    </row>
    <row r="95" spans="1:9" x14ac:dyDescent="0.2">
      <c r="A95" s="1" t="s">
        <v>93</v>
      </c>
      <c r="B95" s="1">
        <v>2</v>
      </c>
      <c r="C95" s="186">
        <f>B95/29</f>
        <v>6.8965517241379309E-2</v>
      </c>
    </row>
    <row r="96" spans="1:9" x14ac:dyDescent="0.2">
      <c r="A96" s="1" t="s">
        <v>94</v>
      </c>
      <c r="B96" s="1">
        <v>1</v>
      </c>
      <c r="C96" s="186">
        <f>B96/29</f>
        <v>3.4482758620689655E-2</v>
      </c>
    </row>
    <row r="97" spans="1:3" x14ac:dyDescent="0.2">
      <c r="A97" s="1" t="s">
        <v>95</v>
      </c>
      <c r="B97" s="1">
        <v>21</v>
      </c>
      <c r="C97" s="186">
        <f>B97/29</f>
        <v>0.72413793103448276</v>
      </c>
    </row>
    <row r="98" spans="1:3" x14ac:dyDescent="0.2">
      <c r="A98" s="1" t="s">
        <v>96</v>
      </c>
      <c r="B98" s="1">
        <v>2</v>
      </c>
      <c r="C98" s="186">
        <f>B98/29</f>
        <v>6.8965517241379309E-2</v>
      </c>
    </row>
    <row r="99" spans="1:3" x14ac:dyDescent="0.2">
      <c r="A99" s="1" t="s">
        <v>97</v>
      </c>
      <c r="B99" s="1">
        <v>3</v>
      </c>
      <c r="C99" s="186">
        <f>B99/29</f>
        <v>0.10344827586206896</v>
      </c>
    </row>
    <row r="100" spans="1:3" x14ac:dyDescent="0.2">
      <c r="A100" s="29" t="s">
        <v>98</v>
      </c>
      <c r="B100" s="29">
        <f>SUM(B95:B99)</f>
        <v>29</v>
      </c>
      <c r="C100" s="246">
        <f>SUM(C95:C99)</f>
        <v>1</v>
      </c>
    </row>
    <row r="101" spans="1:3" x14ac:dyDescent="0.2">
      <c r="A101" s="188"/>
      <c r="B101" s="188"/>
      <c r="C101" s="249"/>
    </row>
    <row r="102" spans="1:3" x14ac:dyDescent="0.2">
      <c r="A102" s="229" t="s">
        <v>193</v>
      </c>
    </row>
    <row r="103" spans="1:3" x14ac:dyDescent="0.2">
      <c r="A103" s="229"/>
    </row>
    <row r="104" spans="1:3" x14ac:dyDescent="0.2">
      <c r="A104" s="229"/>
    </row>
    <row r="105" spans="1:3" ht="42.75" x14ac:dyDescent="0.2">
      <c r="A105" s="236" t="s">
        <v>200</v>
      </c>
      <c r="B105" s="29" t="s">
        <v>186</v>
      </c>
      <c r="C105" s="29" t="s">
        <v>187</v>
      </c>
    </row>
    <row r="106" spans="1:3" x14ac:dyDescent="0.2">
      <c r="A106" s="1" t="s">
        <v>93</v>
      </c>
      <c r="B106" s="1">
        <v>7</v>
      </c>
      <c r="C106" s="186">
        <f>B106/B111</f>
        <v>0.18421052631578946</v>
      </c>
    </row>
    <row r="107" spans="1:3" x14ac:dyDescent="0.2">
      <c r="A107" s="1" t="s">
        <v>94</v>
      </c>
      <c r="B107" s="1">
        <v>2</v>
      </c>
      <c r="C107" s="186">
        <f>B107/B111</f>
        <v>5.2631578947368418E-2</v>
      </c>
    </row>
    <row r="108" spans="1:3" x14ac:dyDescent="0.2">
      <c r="A108" s="1" t="s">
        <v>95</v>
      </c>
      <c r="B108" s="1">
        <v>23</v>
      </c>
      <c r="C108" s="186">
        <f>B108/B111</f>
        <v>0.60526315789473684</v>
      </c>
    </row>
    <row r="109" spans="1:3" x14ac:dyDescent="0.2">
      <c r="A109" s="1" t="s">
        <v>96</v>
      </c>
      <c r="B109" s="1">
        <v>3</v>
      </c>
      <c r="C109" s="186">
        <f>B109/B111</f>
        <v>7.8947368421052627E-2</v>
      </c>
    </row>
    <row r="110" spans="1:3" x14ac:dyDescent="0.2">
      <c r="A110" s="1" t="s">
        <v>97</v>
      </c>
      <c r="B110" s="1">
        <v>3</v>
      </c>
      <c r="C110" s="186">
        <f>B110/B111</f>
        <v>7.8947368421052627E-2</v>
      </c>
    </row>
    <row r="111" spans="1:3" x14ac:dyDescent="0.2">
      <c r="A111" s="248" t="s">
        <v>98</v>
      </c>
      <c r="B111" s="248">
        <v>38</v>
      </c>
      <c r="C111" s="247">
        <f>SUM(C106:C110)</f>
        <v>1</v>
      </c>
    </row>
    <row r="112" spans="1:3" x14ac:dyDescent="0.2">
      <c r="A112" s="57"/>
      <c r="B112" s="57"/>
      <c r="C112" s="310"/>
    </row>
    <row r="113" spans="1:4" x14ac:dyDescent="0.2">
      <c r="A113" s="229" t="s">
        <v>209</v>
      </c>
    </row>
    <row r="114" spans="1:4" x14ac:dyDescent="0.2">
      <c r="A114" s="229"/>
    </row>
    <row r="115" spans="1:4" ht="42.75" x14ac:dyDescent="0.2">
      <c r="A115" s="311" t="s">
        <v>208</v>
      </c>
      <c r="B115" s="326" t="s">
        <v>186</v>
      </c>
      <c r="C115" s="326" t="s">
        <v>187</v>
      </c>
    </row>
    <row r="116" spans="1:4" x14ac:dyDescent="0.2">
      <c r="A116" s="245" t="s">
        <v>93</v>
      </c>
      <c r="B116" s="245">
        <v>2</v>
      </c>
      <c r="C116" s="327">
        <f>B116/B121</f>
        <v>0.10526315789473684</v>
      </c>
    </row>
    <row r="117" spans="1:4" x14ac:dyDescent="0.2">
      <c r="A117" s="245" t="s">
        <v>94</v>
      </c>
      <c r="B117" s="245">
        <v>1</v>
      </c>
      <c r="C117" s="327">
        <f>B117/B121</f>
        <v>5.2631578947368418E-2</v>
      </c>
    </row>
    <row r="118" spans="1:4" x14ac:dyDescent="0.2">
      <c r="A118" s="245" t="s">
        <v>95</v>
      </c>
      <c r="B118" s="245">
        <v>14</v>
      </c>
      <c r="C118" s="327">
        <f>B118/B121</f>
        <v>0.73684210526315785</v>
      </c>
    </row>
    <row r="119" spans="1:4" x14ac:dyDescent="0.2">
      <c r="A119" s="245" t="s">
        <v>96</v>
      </c>
      <c r="B119" s="245">
        <v>2</v>
      </c>
      <c r="C119" s="327">
        <f>B119/B121</f>
        <v>0.10526315789473684</v>
      </c>
    </row>
    <row r="120" spans="1:4" x14ac:dyDescent="0.2">
      <c r="A120" s="245" t="s">
        <v>97</v>
      </c>
      <c r="B120" s="245">
        <v>0</v>
      </c>
      <c r="C120" s="327">
        <f>B120/B121</f>
        <v>0</v>
      </c>
    </row>
    <row r="121" spans="1:4" x14ac:dyDescent="0.2">
      <c r="A121" s="326" t="s">
        <v>98</v>
      </c>
      <c r="B121" s="326">
        <f>SUM(B116:B120)</f>
        <v>19</v>
      </c>
      <c r="C121" s="328">
        <f>SUM(C116:C120)</f>
        <v>0.99999999999999989</v>
      </c>
    </row>
    <row r="122" spans="1:4" x14ac:dyDescent="0.2">
      <c r="A122" s="229"/>
    </row>
    <row r="123" spans="1:4" x14ac:dyDescent="0.2">
      <c r="A123" s="229" t="s">
        <v>210</v>
      </c>
    </row>
    <row r="124" spans="1:4" x14ac:dyDescent="0.2">
      <c r="A124" s="229"/>
    </row>
    <row r="125" spans="1:4" ht="42.75" x14ac:dyDescent="0.2">
      <c r="A125" s="311" t="s">
        <v>202</v>
      </c>
      <c r="B125" s="326" t="s">
        <v>186</v>
      </c>
      <c r="C125" s="326" t="s">
        <v>187</v>
      </c>
    </row>
    <row r="126" spans="1:4" x14ac:dyDescent="0.2">
      <c r="A126" s="245" t="s">
        <v>93</v>
      </c>
      <c r="B126" s="150">
        <f t="shared" ref="B126:B131" si="9">B85+B95+B106+B116</f>
        <v>13</v>
      </c>
      <c r="C126" s="327">
        <f>B126/B131</f>
        <v>0.11818181818181818</v>
      </c>
      <c r="D126" s="88"/>
    </row>
    <row r="127" spans="1:4" x14ac:dyDescent="0.2">
      <c r="A127" s="245" t="s">
        <v>94</v>
      </c>
      <c r="B127" s="150">
        <f t="shared" si="9"/>
        <v>5</v>
      </c>
      <c r="C127" s="327">
        <f>B127/B131</f>
        <v>4.5454545454545456E-2</v>
      </c>
      <c r="D127" s="88"/>
    </row>
    <row r="128" spans="1:4" x14ac:dyDescent="0.2">
      <c r="A128" s="245" t="s">
        <v>95</v>
      </c>
      <c r="B128" s="150">
        <f t="shared" si="9"/>
        <v>64</v>
      </c>
      <c r="C128" s="327">
        <f>B128/B131</f>
        <v>0.58181818181818179</v>
      </c>
      <c r="D128" s="88"/>
    </row>
    <row r="129" spans="1:4" x14ac:dyDescent="0.2">
      <c r="A129" s="245" t="s">
        <v>96</v>
      </c>
      <c r="B129" s="150">
        <f t="shared" si="9"/>
        <v>13</v>
      </c>
      <c r="C129" s="327">
        <f>B129/B131</f>
        <v>0.11818181818181818</v>
      </c>
      <c r="D129" s="88"/>
    </row>
    <row r="130" spans="1:4" x14ac:dyDescent="0.2">
      <c r="A130" s="245" t="s">
        <v>97</v>
      </c>
      <c r="B130" s="150">
        <f t="shared" si="9"/>
        <v>15</v>
      </c>
      <c r="C130" s="327">
        <f>B130/B131</f>
        <v>0.13636363636363635</v>
      </c>
      <c r="D130" s="88"/>
    </row>
    <row r="131" spans="1:4" x14ac:dyDescent="0.2">
      <c r="A131" s="326" t="s">
        <v>98</v>
      </c>
      <c r="B131" s="329">
        <f t="shared" si="9"/>
        <v>110</v>
      </c>
      <c r="C131" s="330">
        <f>SUM(C126:C130)</f>
        <v>0.99999999999999989</v>
      </c>
    </row>
  </sheetData>
  <mergeCells count="23">
    <mergeCell ref="A19:B19"/>
    <mergeCell ref="A14:B14"/>
    <mergeCell ref="A15:B15"/>
    <mergeCell ref="A16:B16"/>
    <mergeCell ref="A17:B17"/>
    <mergeCell ref="A18:B18"/>
    <mergeCell ref="A38:B38"/>
    <mergeCell ref="B41:C41"/>
    <mergeCell ref="B58:C58"/>
    <mergeCell ref="B66:C66"/>
    <mergeCell ref="B50:C50"/>
    <mergeCell ref="A33:B33"/>
    <mergeCell ref="A34:B34"/>
    <mergeCell ref="A35:B35"/>
    <mergeCell ref="A36:B36"/>
    <mergeCell ref="A37:B37"/>
    <mergeCell ref="B74:C74"/>
    <mergeCell ref="H88:I88"/>
    <mergeCell ref="H89:I89"/>
    <mergeCell ref="H90:I90"/>
    <mergeCell ref="A39:B39"/>
    <mergeCell ref="H86:I86"/>
    <mergeCell ref="H87:I87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ignoredErrors>
    <ignoredError sqref="C6:D6 C30:D30" formulaRange="1"/>
    <ignoredError sqref="F30 J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AR62"/>
  <sheetViews>
    <sheetView workbookViewId="0">
      <pane xSplit="1" topLeftCell="B1" activePane="topRight" state="frozen"/>
      <selection activeCell="A10" sqref="A10"/>
      <selection pane="topRight" activeCell="A30" sqref="A30"/>
    </sheetView>
  </sheetViews>
  <sheetFormatPr defaultRowHeight="14.25" x14ac:dyDescent="0.2"/>
  <cols>
    <col min="1" max="1" width="36.5" bestFit="1" customWidth="1"/>
    <col min="2" max="2" width="15.25" bestFit="1" customWidth="1"/>
    <col min="3" max="3" width="11.25" customWidth="1"/>
    <col min="4" max="4" width="13.25" customWidth="1"/>
    <col min="5" max="11" width="11.25" customWidth="1"/>
    <col min="13" max="21" width="9" customWidth="1"/>
    <col min="22" max="40" width="11" customWidth="1"/>
    <col min="42" max="42" width="10.5" bestFit="1" customWidth="1"/>
    <col min="43" max="43" width="13.875" bestFit="1" customWidth="1"/>
  </cols>
  <sheetData>
    <row r="1" spans="1:44" x14ac:dyDescent="0.2">
      <c r="A1" t="s">
        <v>173</v>
      </c>
    </row>
    <row r="2" spans="1:44" x14ac:dyDescent="0.2">
      <c r="A2" t="s">
        <v>174</v>
      </c>
    </row>
    <row r="3" spans="1:44" x14ac:dyDescent="0.2">
      <c r="A3" t="s">
        <v>175</v>
      </c>
    </row>
    <row r="4" spans="1:44" x14ac:dyDescent="0.2">
      <c r="A4" t="s">
        <v>176</v>
      </c>
    </row>
    <row r="5" spans="1:44" x14ac:dyDescent="0.2">
      <c r="A5" t="s">
        <v>177</v>
      </c>
    </row>
    <row r="6" spans="1:44" x14ac:dyDescent="0.2">
      <c r="A6" t="s">
        <v>178</v>
      </c>
    </row>
    <row r="7" spans="1:44" x14ac:dyDescent="0.2">
      <c r="A7" t="s">
        <v>179</v>
      </c>
    </row>
    <row r="8" spans="1:44" x14ac:dyDescent="0.2">
      <c r="A8" t="s">
        <v>180</v>
      </c>
    </row>
    <row r="10" spans="1:44" x14ac:dyDescent="0.2">
      <c r="A10" t="s">
        <v>163</v>
      </c>
      <c r="G10" s="34"/>
      <c r="H10" s="130"/>
      <c r="I10" s="130"/>
      <c r="J10" s="130"/>
      <c r="K10" s="130"/>
    </row>
    <row r="11" spans="1:44" ht="15" thickBot="1" x14ac:dyDescent="0.25">
      <c r="A11" s="2" t="s">
        <v>46</v>
      </c>
      <c r="F11" s="178"/>
      <c r="P11" s="178"/>
      <c r="Z11" s="178"/>
    </row>
    <row r="12" spans="1:44" ht="60.75" thickBot="1" x14ac:dyDescent="0.3">
      <c r="A12" s="139" t="s">
        <v>0</v>
      </c>
      <c r="B12" s="138" t="s">
        <v>139</v>
      </c>
      <c r="C12" s="277">
        <v>42826</v>
      </c>
      <c r="D12" s="277">
        <v>42856</v>
      </c>
      <c r="E12" s="277">
        <v>42887</v>
      </c>
      <c r="F12" s="277">
        <v>42917</v>
      </c>
      <c r="G12" s="278">
        <v>42948</v>
      </c>
      <c r="H12" s="278">
        <v>42979</v>
      </c>
      <c r="I12" s="278">
        <v>43009</v>
      </c>
      <c r="J12" s="278">
        <v>43040</v>
      </c>
      <c r="K12" s="278">
        <v>43070</v>
      </c>
      <c r="L12" s="222" t="s">
        <v>140</v>
      </c>
      <c r="M12" s="223">
        <v>42826</v>
      </c>
      <c r="N12" s="223">
        <v>42856</v>
      </c>
      <c r="O12" s="223">
        <v>42887</v>
      </c>
      <c r="P12" s="223">
        <v>42917</v>
      </c>
      <c r="Q12" s="223">
        <v>42948</v>
      </c>
      <c r="R12" s="223">
        <v>42979</v>
      </c>
      <c r="S12" s="276">
        <v>43009</v>
      </c>
      <c r="T12" s="276">
        <v>43040</v>
      </c>
      <c r="U12" s="276">
        <v>43070</v>
      </c>
      <c r="V12" s="196" t="s">
        <v>141</v>
      </c>
      <c r="W12" s="279">
        <v>42826</v>
      </c>
      <c r="X12" s="280">
        <v>42856</v>
      </c>
      <c r="Y12" s="281">
        <v>42887</v>
      </c>
      <c r="Z12" s="282">
        <v>42917</v>
      </c>
      <c r="AA12" s="282">
        <v>42948</v>
      </c>
      <c r="AB12" s="282">
        <v>42979</v>
      </c>
      <c r="AC12" s="279">
        <v>43009</v>
      </c>
      <c r="AD12" s="279">
        <v>43040</v>
      </c>
      <c r="AE12" s="279">
        <v>43070</v>
      </c>
      <c r="AF12" s="176" t="s">
        <v>142</v>
      </c>
      <c r="AG12" s="176" t="s">
        <v>143</v>
      </c>
      <c r="AH12" s="160" t="s">
        <v>165</v>
      </c>
      <c r="AI12" s="160" t="s">
        <v>171</v>
      </c>
      <c r="AJ12" s="176" t="s">
        <v>172</v>
      </c>
      <c r="AK12" s="176" t="s">
        <v>184</v>
      </c>
      <c r="AL12" s="176" t="s">
        <v>197</v>
      </c>
      <c r="AM12" s="176" t="s">
        <v>198</v>
      </c>
      <c r="AN12" s="176" t="s">
        <v>199</v>
      </c>
      <c r="AO12" s="140" t="s">
        <v>45</v>
      </c>
      <c r="AP12" s="140" t="s">
        <v>155</v>
      </c>
      <c r="AQ12" s="140" t="s">
        <v>156</v>
      </c>
      <c r="AR12" s="140" t="s">
        <v>157</v>
      </c>
    </row>
    <row r="13" spans="1:44" ht="15" x14ac:dyDescent="0.25">
      <c r="A13" s="111" t="s">
        <v>2</v>
      </c>
      <c r="B13" s="266">
        <f>'Total Awards'!E8</f>
        <v>8</v>
      </c>
      <c r="C13" s="260">
        <v>3</v>
      </c>
      <c r="D13" s="165">
        <v>6</v>
      </c>
      <c r="E13" s="177">
        <v>7</v>
      </c>
      <c r="F13" s="234">
        <v>7</v>
      </c>
      <c r="G13" s="165">
        <v>9</v>
      </c>
      <c r="H13" s="168">
        <v>4</v>
      </c>
      <c r="I13" s="168">
        <v>8</v>
      </c>
      <c r="J13" s="168">
        <v>6</v>
      </c>
      <c r="K13" s="268">
        <v>7</v>
      </c>
      <c r="L13" s="190">
        <f>'Total Awards'!F8</f>
        <v>0</v>
      </c>
      <c r="M13" s="34">
        <v>1</v>
      </c>
      <c r="N13" s="116">
        <v>1</v>
      </c>
      <c r="O13" s="118">
        <v>1</v>
      </c>
      <c r="P13" s="118">
        <v>0</v>
      </c>
      <c r="Q13" s="34">
        <v>0</v>
      </c>
      <c r="R13" s="129">
        <v>0</v>
      </c>
      <c r="S13" s="260">
        <v>1</v>
      </c>
      <c r="T13" s="165">
        <v>0</v>
      </c>
      <c r="U13" s="261"/>
      <c r="V13" s="255">
        <f>'Total Awards'!G8</f>
        <v>3</v>
      </c>
      <c r="W13" s="168">
        <v>0</v>
      </c>
      <c r="X13" s="165">
        <v>0</v>
      </c>
      <c r="Y13" s="34">
        <v>0</v>
      </c>
      <c r="Z13" s="118">
        <v>0</v>
      </c>
      <c r="AA13" s="135">
        <v>1</v>
      </c>
      <c r="AB13" s="271">
        <v>0</v>
      </c>
      <c r="AC13" s="36">
        <v>0</v>
      </c>
      <c r="AD13" s="36"/>
      <c r="AE13" s="36">
        <v>0</v>
      </c>
      <c r="AF13" s="168">
        <f t="shared" ref="AF13:AK13" si="0">C13+M13+W13</f>
        <v>4</v>
      </c>
      <c r="AG13" s="177">
        <f t="shared" si="0"/>
        <v>7</v>
      </c>
      <c r="AH13" s="34">
        <f t="shared" si="0"/>
        <v>8</v>
      </c>
      <c r="AI13" s="34">
        <f t="shared" si="0"/>
        <v>7</v>
      </c>
      <c r="AJ13" s="34">
        <f t="shared" si="0"/>
        <v>10</v>
      </c>
      <c r="AK13" s="34">
        <f t="shared" si="0"/>
        <v>4</v>
      </c>
      <c r="AL13" s="34">
        <f t="shared" ref="AL13:AN28" si="1">I13+S13+AC13</f>
        <v>9</v>
      </c>
      <c r="AM13" s="34">
        <f t="shared" si="1"/>
        <v>6</v>
      </c>
      <c r="AN13" s="34">
        <f t="shared" si="1"/>
        <v>7</v>
      </c>
      <c r="AO13" s="308">
        <f>SUM(AE13:AN13)</f>
        <v>62</v>
      </c>
      <c r="AP13" s="199">
        <v>13800</v>
      </c>
      <c r="AQ13" s="47">
        <f>AP13/250</f>
        <v>55.2</v>
      </c>
      <c r="AR13" s="47">
        <f>AQ13/12</f>
        <v>4.6000000000000005</v>
      </c>
    </row>
    <row r="14" spans="1:44" ht="15" x14ac:dyDescent="0.25">
      <c r="A14" s="112" t="s">
        <v>3</v>
      </c>
      <c r="B14" s="267">
        <f>'Total Awards'!E9</f>
        <v>1</v>
      </c>
      <c r="C14" s="262">
        <v>0</v>
      </c>
      <c r="D14" s="36">
        <v>0</v>
      </c>
      <c r="E14" s="136">
        <v>0</v>
      </c>
      <c r="F14" s="198">
        <v>1</v>
      </c>
      <c r="G14" s="36">
        <v>0</v>
      </c>
      <c r="H14" s="237">
        <v>0</v>
      </c>
      <c r="I14" s="237">
        <v>1</v>
      </c>
      <c r="J14" s="237">
        <v>2</v>
      </c>
      <c r="K14" s="239">
        <v>2</v>
      </c>
      <c r="L14" s="190">
        <f>'Total Awards'!F9</f>
        <v>1</v>
      </c>
      <c r="M14" s="36">
        <v>1</v>
      </c>
      <c r="N14" s="115">
        <v>0</v>
      </c>
      <c r="O14" s="117">
        <v>0</v>
      </c>
      <c r="P14" s="118">
        <v>1</v>
      </c>
      <c r="Q14" s="34">
        <v>2</v>
      </c>
      <c r="R14" s="129">
        <v>0</v>
      </c>
      <c r="S14" s="262">
        <v>1</v>
      </c>
      <c r="T14" s="36">
        <v>0</v>
      </c>
      <c r="U14" s="115"/>
      <c r="V14" s="256">
        <f>'Total Awards'!G9</f>
        <v>0</v>
      </c>
      <c r="W14" s="35">
        <v>0</v>
      </c>
      <c r="X14" s="36">
        <v>0</v>
      </c>
      <c r="Y14" s="36">
        <v>0</v>
      </c>
      <c r="Z14" s="118">
        <v>0</v>
      </c>
      <c r="AA14" s="118">
        <v>1</v>
      </c>
      <c r="AB14" s="272">
        <v>0</v>
      </c>
      <c r="AC14" s="36">
        <v>0</v>
      </c>
      <c r="AD14" s="36">
        <v>1</v>
      </c>
      <c r="AE14" s="36">
        <v>8</v>
      </c>
      <c r="AF14" s="35">
        <f t="shared" ref="AF14:AF29" si="2">C14+M14+W14</f>
        <v>1</v>
      </c>
      <c r="AG14" s="136">
        <f t="shared" ref="AG14:AG28" si="3">D14+N14+X14</f>
        <v>0</v>
      </c>
      <c r="AH14" s="36">
        <f t="shared" ref="AH14:AH20" si="4">E14+O14+Y14</f>
        <v>0</v>
      </c>
      <c r="AI14" s="36">
        <f t="shared" ref="AI14:AI29" si="5">F14+P14+Z14</f>
        <v>2</v>
      </c>
      <c r="AJ14" s="36">
        <f t="shared" ref="AJ14:AJ33" si="6">G14+Q14+AA14</f>
        <v>3</v>
      </c>
      <c r="AK14" s="34">
        <f>H14+R14+AB14</f>
        <v>0</v>
      </c>
      <c r="AL14" s="34">
        <f t="shared" si="1"/>
        <v>2</v>
      </c>
      <c r="AM14" s="34">
        <f t="shared" si="1"/>
        <v>3</v>
      </c>
      <c r="AN14" s="34">
        <f t="shared" si="1"/>
        <v>10</v>
      </c>
      <c r="AO14" s="308">
        <f t="shared" ref="AO14:AO32" si="7">SUM(AE14:AN14)</f>
        <v>29</v>
      </c>
      <c r="AP14" s="199">
        <v>5500</v>
      </c>
      <c r="AQ14" s="47">
        <f t="shared" ref="AQ14:AQ32" si="8">AP14/250</f>
        <v>22</v>
      </c>
      <c r="AR14" s="47">
        <f t="shared" ref="AR14:AR32" si="9">AQ14/12</f>
        <v>1.8333333333333333</v>
      </c>
    </row>
    <row r="15" spans="1:44" ht="15" x14ac:dyDescent="0.25">
      <c r="A15" s="187" t="s">
        <v>168</v>
      </c>
      <c r="B15" s="267">
        <f>'Total Awards'!E10</f>
        <v>0</v>
      </c>
      <c r="C15" s="262"/>
      <c r="D15" s="36"/>
      <c r="E15" s="287"/>
      <c r="F15" s="194">
        <v>2</v>
      </c>
      <c r="G15" s="288">
        <v>1</v>
      </c>
      <c r="H15" s="214">
        <v>0</v>
      </c>
      <c r="I15" s="214">
        <f>5-1</f>
        <v>4</v>
      </c>
      <c r="J15" s="214">
        <v>1</v>
      </c>
      <c r="K15" s="239"/>
      <c r="L15" s="190">
        <f>'Total Awards'!F10</f>
        <v>1</v>
      </c>
      <c r="M15" s="36"/>
      <c r="N15" s="115"/>
      <c r="O15" s="117"/>
      <c r="P15" s="118">
        <v>0</v>
      </c>
      <c r="Q15" s="34">
        <v>0</v>
      </c>
      <c r="R15" s="129">
        <v>1</v>
      </c>
      <c r="S15" s="262">
        <v>0</v>
      </c>
      <c r="T15" s="36">
        <v>0</v>
      </c>
      <c r="U15" s="115"/>
      <c r="V15" s="256">
        <f>'Total Awards'!G10</f>
        <v>0</v>
      </c>
      <c r="W15" s="35"/>
      <c r="X15" s="36"/>
      <c r="Y15" s="36"/>
      <c r="Z15" s="118">
        <v>0</v>
      </c>
      <c r="AA15" s="118">
        <v>0</v>
      </c>
      <c r="AB15" s="272">
        <v>0</v>
      </c>
      <c r="AC15" s="36">
        <v>0</v>
      </c>
      <c r="AD15" s="36"/>
      <c r="AE15" s="36">
        <v>0</v>
      </c>
      <c r="AF15" s="35"/>
      <c r="AG15" s="136"/>
      <c r="AH15" s="36">
        <f t="shared" si="4"/>
        <v>0</v>
      </c>
      <c r="AI15" s="36">
        <f t="shared" si="5"/>
        <v>2</v>
      </c>
      <c r="AJ15" s="36">
        <f t="shared" si="6"/>
        <v>1</v>
      </c>
      <c r="AK15" s="34">
        <f t="shared" ref="AK15:AK33" si="10">H15+R15+AB15</f>
        <v>1</v>
      </c>
      <c r="AL15" s="34">
        <f t="shared" si="1"/>
        <v>4</v>
      </c>
      <c r="AM15" s="34">
        <f t="shared" si="1"/>
        <v>1</v>
      </c>
      <c r="AN15" s="34">
        <f t="shared" si="1"/>
        <v>0</v>
      </c>
      <c r="AO15" s="308">
        <f t="shared" si="7"/>
        <v>9</v>
      </c>
      <c r="AP15" s="199"/>
      <c r="AQ15" s="47"/>
      <c r="AR15" s="47"/>
    </row>
    <row r="16" spans="1:44" ht="15" x14ac:dyDescent="0.25">
      <c r="A16" s="189" t="s">
        <v>170</v>
      </c>
      <c r="B16" s="267">
        <f>'Total Awards'!E11</f>
        <v>1</v>
      </c>
      <c r="C16" s="262"/>
      <c r="D16" s="36"/>
      <c r="E16" s="287"/>
      <c r="F16" s="194">
        <v>0</v>
      </c>
      <c r="G16" s="288">
        <f t="shared" ref="G16" si="11">B16-C16-D16-E16-F16</f>
        <v>1</v>
      </c>
      <c r="H16" s="214">
        <v>0</v>
      </c>
      <c r="I16" s="214">
        <v>0</v>
      </c>
      <c r="J16" s="214">
        <v>0</v>
      </c>
      <c r="K16" s="239">
        <v>0</v>
      </c>
      <c r="L16" s="190">
        <f>'Total Awards'!F11</f>
        <v>0</v>
      </c>
      <c r="M16" s="36"/>
      <c r="N16" s="115"/>
      <c r="O16" s="117"/>
      <c r="P16" s="118">
        <v>0</v>
      </c>
      <c r="Q16" s="34">
        <v>0</v>
      </c>
      <c r="R16" s="129">
        <v>0</v>
      </c>
      <c r="S16" s="262">
        <v>0</v>
      </c>
      <c r="T16" s="36"/>
      <c r="U16" s="115"/>
      <c r="V16" s="256">
        <f>'Total Awards'!G11</f>
        <v>0</v>
      </c>
      <c r="W16" s="35"/>
      <c r="X16" s="36"/>
      <c r="Y16" s="36"/>
      <c r="Z16" s="118">
        <v>1</v>
      </c>
      <c r="AA16" s="118">
        <v>0</v>
      </c>
      <c r="AB16" s="272">
        <v>0</v>
      </c>
      <c r="AC16" s="36">
        <v>0</v>
      </c>
      <c r="AD16" s="36"/>
      <c r="AE16" s="36">
        <v>0</v>
      </c>
      <c r="AF16" s="35"/>
      <c r="AG16" s="136"/>
      <c r="AH16" s="36">
        <f t="shared" si="4"/>
        <v>0</v>
      </c>
      <c r="AI16" s="36">
        <f t="shared" si="5"/>
        <v>1</v>
      </c>
      <c r="AJ16" s="36">
        <f t="shared" si="6"/>
        <v>1</v>
      </c>
      <c r="AK16" s="34">
        <f t="shared" si="10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08">
        <f t="shared" si="7"/>
        <v>2</v>
      </c>
      <c r="AP16" s="199"/>
      <c r="AQ16" s="47"/>
      <c r="AR16" s="47"/>
    </row>
    <row r="17" spans="1:44" ht="15" x14ac:dyDescent="0.25">
      <c r="A17" s="112" t="s">
        <v>9</v>
      </c>
      <c r="B17" s="267">
        <f>'Total Awards'!E12</f>
        <v>6</v>
      </c>
      <c r="C17" s="262">
        <v>0</v>
      </c>
      <c r="D17" s="36">
        <v>2</v>
      </c>
      <c r="E17" s="287">
        <v>1</v>
      </c>
      <c r="F17" s="194">
        <v>0</v>
      </c>
      <c r="G17" s="288">
        <v>1</v>
      </c>
      <c r="H17" s="214">
        <v>4</v>
      </c>
      <c r="I17" s="214">
        <v>2</v>
      </c>
      <c r="J17" s="214">
        <f>3-1</f>
        <v>2</v>
      </c>
      <c r="K17" s="239">
        <v>0</v>
      </c>
      <c r="L17" s="190">
        <f>'Total Awards'!F12</f>
        <v>3</v>
      </c>
      <c r="M17" s="36"/>
      <c r="N17" s="115">
        <v>3</v>
      </c>
      <c r="O17" s="117">
        <v>1</v>
      </c>
      <c r="P17" s="118">
        <v>1</v>
      </c>
      <c r="Q17" s="34">
        <v>0</v>
      </c>
      <c r="R17" s="129">
        <v>0</v>
      </c>
      <c r="S17" s="262">
        <v>0</v>
      </c>
      <c r="T17" s="36">
        <v>1</v>
      </c>
      <c r="U17" s="115">
        <v>0</v>
      </c>
      <c r="V17" s="256">
        <f>'Total Awards'!G12</f>
        <v>0</v>
      </c>
      <c r="W17" s="35">
        <v>0</v>
      </c>
      <c r="X17" s="36">
        <v>0</v>
      </c>
      <c r="Y17" s="36">
        <v>0</v>
      </c>
      <c r="Z17" s="118">
        <v>0</v>
      </c>
      <c r="AA17" s="118">
        <v>0</v>
      </c>
      <c r="AB17" s="272">
        <v>0</v>
      </c>
      <c r="AC17" s="36">
        <v>0</v>
      </c>
      <c r="AD17" s="36"/>
      <c r="AE17" s="36">
        <v>0</v>
      </c>
      <c r="AF17" s="35">
        <f t="shared" si="2"/>
        <v>0</v>
      </c>
      <c r="AG17" s="136">
        <f t="shared" si="3"/>
        <v>5</v>
      </c>
      <c r="AH17" s="36">
        <f t="shared" si="4"/>
        <v>2</v>
      </c>
      <c r="AI17" s="36">
        <f t="shared" si="5"/>
        <v>1</v>
      </c>
      <c r="AJ17" s="36">
        <f t="shared" si="6"/>
        <v>1</v>
      </c>
      <c r="AK17" s="34">
        <f t="shared" si="10"/>
        <v>4</v>
      </c>
      <c r="AL17" s="34">
        <f t="shared" si="1"/>
        <v>2</v>
      </c>
      <c r="AM17" s="34">
        <f t="shared" si="1"/>
        <v>3</v>
      </c>
      <c r="AN17" s="34">
        <f t="shared" si="1"/>
        <v>0</v>
      </c>
      <c r="AO17" s="308">
        <f t="shared" si="7"/>
        <v>18</v>
      </c>
      <c r="AP17" s="199">
        <v>4200</v>
      </c>
      <c r="AQ17" s="47">
        <f t="shared" si="8"/>
        <v>16.8</v>
      </c>
      <c r="AR17" s="47">
        <f t="shared" si="9"/>
        <v>1.4000000000000001</v>
      </c>
    </row>
    <row r="18" spans="1:44" ht="15" x14ac:dyDescent="0.25">
      <c r="A18" s="113" t="s">
        <v>196</v>
      </c>
      <c r="B18" s="267">
        <f>'Total Awards'!E13</f>
        <v>0</v>
      </c>
      <c r="C18" s="262">
        <v>1</v>
      </c>
      <c r="D18" s="36">
        <v>0</v>
      </c>
      <c r="E18" s="287">
        <v>3</v>
      </c>
      <c r="F18" s="194">
        <v>2</v>
      </c>
      <c r="G18" s="288">
        <v>1</v>
      </c>
      <c r="H18" s="214">
        <v>2</v>
      </c>
      <c r="I18" s="214">
        <v>1</v>
      </c>
      <c r="J18" s="214">
        <v>0</v>
      </c>
      <c r="K18" s="239">
        <v>0</v>
      </c>
      <c r="L18" s="190">
        <f>'Total Awards'!F13</f>
        <v>0</v>
      </c>
      <c r="M18" s="36">
        <v>0</v>
      </c>
      <c r="N18" s="115">
        <v>0</v>
      </c>
      <c r="O18" s="117">
        <v>0</v>
      </c>
      <c r="P18" s="118">
        <v>0</v>
      </c>
      <c r="Q18" s="34">
        <v>0</v>
      </c>
      <c r="R18" s="129">
        <v>0</v>
      </c>
      <c r="S18" s="262">
        <v>0</v>
      </c>
      <c r="T18" s="36"/>
      <c r="U18" s="115"/>
      <c r="V18" s="256">
        <f>'Total Awards'!G13</f>
        <v>0</v>
      </c>
      <c r="W18" s="35">
        <v>0</v>
      </c>
      <c r="X18" s="36">
        <v>0</v>
      </c>
      <c r="Y18" s="36">
        <v>0</v>
      </c>
      <c r="Z18" s="118">
        <v>0</v>
      </c>
      <c r="AA18" s="118">
        <v>0</v>
      </c>
      <c r="AB18" s="272">
        <v>0</v>
      </c>
      <c r="AC18" s="36">
        <v>0</v>
      </c>
      <c r="AD18" s="36"/>
      <c r="AE18" s="36">
        <v>0</v>
      </c>
      <c r="AF18" s="35">
        <f t="shared" si="2"/>
        <v>1</v>
      </c>
      <c r="AG18" s="136">
        <f t="shared" si="3"/>
        <v>0</v>
      </c>
      <c r="AH18" s="36">
        <f t="shared" si="4"/>
        <v>3</v>
      </c>
      <c r="AI18" s="36">
        <f t="shared" si="5"/>
        <v>2</v>
      </c>
      <c r="AJ18" s="36">
        <f t="shared" si="6"/>
        <v>1</v>
      </c>
      <c r="AK18" s="34">
        <f t="shared" si="10"/>
        <v>2</v>
      </c>
      <c r="AL18" s="34">
        <f t="shared" si="1"/>
        <v>1</v>
      </c>
      <c r="AM18" s="34">
        <f t="shared" si="1"/>
        <v>0</v>
      </c>
      <c r="AN18" s="34">
        <f t="shared" si="1"/>
        <v>0</v>
      </c>
      <c r="AO18" s="308">
        <f t="shared" si="7"/>
        <v>10</v>
      </c>
      <c r="AP18" s="199">
        <v>2000</v>
      </c>
      <c r="AQ18" s="47">
        <f t="shared" si="8"/>
        <v>8</v>
      </c>
      <c r="AR18" s="47">
        <f t="shared" si="9"/>
        <v>0.66666666666666663</v>
      </c>
    </row>
    <row r="19" spans="1:44" ht="15" x14ac:dyDescent="0.25">
      <c r="A19" s="112" t="s">
        <v>13</v>
      </c>
      <c r="B19" s="267">
        <f>'Total Awards'!E14</f>
        <v>0</v>
      </c>
      <c r="C19" s="262">
        <v>0</v>
      </c>
      <c r="D19" s="36">
        <v>0</v>
      </c>
      <c r="E19" s="287">
        <v>0</v>
      </c>
      <c r="F19" s="194">
        <v>0</v>
      </c>
      <c r="G19" s="288">
        <v>2</v>
      </c>
      <c r="H19" s="214">
        <v>1</v>
      </c>
      <c r="I19" s="214">
        <v>2</v>
      </c>
      <c r="J19" s="214">
        <v>0</v>
      </c>
      <c r="K19" s="239">
        <v>0</v>
      </c>
      <c r="L19" s="190">
        <f>'Total Awards'!F14</f>
        <v>0</v>
      </c>
      <c r="M19" s="36"/>
      <c r="N19" s="115"/>
      <c r="O19" s="117"/>
      <c r="P19" s="118"/>
      <c r="Q19" s="34">
        <v>0</v>
      </c>
      <c r="R19" s="129">
        <v>0</v>
      </c>
      <c r="S19" s="262">
        <v>0</v>
      </c>
      <c r="T19" s="36"/>
      <c r="U19" s="115"/>
      <c r="V19" s="256">
        <f>'Total Awards'!G14</f>
        <v>0</v>
      </c>
      <c r="W19" s="35"/>
      <c r="X19" s="36"/>
      <c r="Y19" s="36"/>
      <c r="Z19" s="118"/>
      <c r="AA19" s="118">
        <v>0</v>
      </c>
      <c r="AB19" s="272">
        <v>0</v>
      </c>
      <c r="AC19" s="36">
        <v>0</v>
      </c>
      <c r="AD19" s="36"/>
      <c r="AE19" s="36">
        <v>0</v>
      </c>
      <c r="AF19" s="35"/>
      <c r="AG19" s="136"/>
      <c r="AH19" s="36">
        <f t="shared" si="4"/>
        <v>0</v>
      </c>
      <c r="AI19" s="36">
        <f t="shared" si="5"/>
        <v>0</v>
      </c>
      <c r="AJ19" s="36">
        <f t="shared" si="6"/>
        <v>2</v>
      </c>
      <c r="AK19" s="34">
        <f t="shared" si="10"/>
        <v>1</v>
      </c>
      <c r="AL19" s="34">
        <f t="shared" si="1"/>
        <v>2</v>
      </c>
      <c r="AM19" s="34">
        <f t="shared" si="1"/>
        <v>0</v>
      </c>
      <c r="AN19" s="34">
        <f t="shared" si="1"/>
        <v>0</v>
      </c>
      <c r="AO19" s="308">
        <f t="shared" si="7"/>
        <v>5</v>
      </c>
      <c r="AP19" s="199"/>
      <c r="AQ19" s="47"/>
      <c r="AR19" s="47"/>
    </row>
    <row r="20" spans="1:44" ht="15" x14ac:dyDescent="0.25">
      <c r="A20" s="112" t="s">
        <v>17</v>
      </c>
      <c r="B20" s="267">
        <f>'Total Awards'!E16</f>
        <v>7</v>
      </c>
      <c r="C20" s="262"/>
      <c r="D20" s="36"/>
      <c r="E20" s="287"/>
      <c r="F20" s="194">
        <v>1</v>
      </c>
      <c r="G20" s="288">
        <v>2</v>
      </c>
      <c r="H20" s="214">
        <v>1</v>
      </c>
      <c r="I20" s="214">
        <v>3</v>
      </c>
      <c r="J20" s="214">
        <v>2</v>
      </c>
      <c r="K20" s="239">
        <v>5</v>
      </c>
      <c r="L20" s="190">
        <f>'Total Awards'!F15</f>
        <v>0</v>
      </c>
      <c r="M20" s="36"/>
      <c r="N20" s="115"/>
      <c r="O20" s="117"/>
      <c r="P20" s="118"/>
      <c r="Q20" s="34">
        <v>0</v>
      </c>
      <c r="R20" s="129">
        <v>0</v>
      </c>
      <c r="S20" s="262">
        <v>0</v>
      </c>
      <c r="T20" s="36"/>
      <c r="U20" s="115"/>
      <c r="V20" s="256">
        <f>'Total Awards'!G15</f>
        <v>0</v>
      </c>
      <c r="W20" s="35"/>
      <c r="X20" s="36"/>
      <c r="Y20" s="36"/>
      <c r="Z20" s="118"/>
      <c r="AA20" s="118">
        <v>0</v>
      </c>
      <c r="AB20" s="272">
        <v>0</v>
      </c>
      <c r="AC20" s="36">
        <v>0</v>
      </c>
      <c r="AD20" s="36"/>
      <c r="AE20" s="36">
        <v>0</v>
      </c>
      <c r="AF20" s="35"/>
      <c r="AG20" s="136"/>
      <c r="AH20" s="198">
        <f t="shared" si="4"/>
        <v>0</v>
      </c>
      <c r="AI20" s="36">
        <f t="shared" si="5"/>
        <v>1</v>
      </c>
      <c r="AJ20" s="36">
        <f t="shared" si="6"/>
        <v>2</v>
      </c>
      <c r="AK20" s="34">
        <f t="shared" si="10"/>
        <v>1</v>
      </c>
      <c r="AL20" s="34">
        <f t="shared" si="1"/>
        <v>3</v>
      </c>
      <c r="AM20" s="34">
        <f t="shared" si="1"/>
        <v>2</v>
      </c>
      <c r="AN20" s="34">
        <f t="shared" si="1"/>
        <v>5</v>
      </c>
      <c r="AO20" s="308">
        <f t="shared" si="7"/>
        <v>14</v>
      </c>
      <c r="AP20" s="199"/>
      <c r="AQ20" s="47"/>
      <c r="AR20" s="47"/>
    </row>
    <row r="21" spans="1:44" ht="15" x14ac:dyDescent="0.25">
      <c r="A21" s="112" t="s">
        <v>19</v>
      </c>
      <c r="B21" s="267">
        <f>'Total Awards'!E17</f>
        <v>4</v>
      </c>
      <c r="C21" s="262">
        <v>0</v>
      </c>
      <c r="D21" s="36">
        <v>0</v>
      </c>
      <c r="E21" s="287">
        <v>2</v>
      </c>
      <c r="F21" s="194">
        <v>1</v>
      </c>
      <c r="G21" s="288">
        <v>0</v>
      </c>
      <c r="H21" s="214">
        <f>1-1</f>
        <v>0</v>
      </c>
      <c r="I21" s="214">
        <v>0</v>
      </c>
      <c r="J21" s="214">
        <f>4-1</f>
        <v>3</v>
      </c>
      <c r="K21" s="239">
        <v>1</v>
      </c>
      <c r="L21" s="190">
        <f>'Total Awards'!F17</f>
        <v>1</v>
      </c>
      <c r="M21" s="36"/>
      <c r="N21" s="115">
        <v>0</v>
      </c>
      <c r="O21" s="117">
        <v>1</v>
      </c>
      <c r="P21" s="118">
        <v>0</v>
      </c>
      <c r="Q21" s="34">
        <v>0</v>
      </c>
      <c r="R21" s="129">
        <v>0</v>
      </c>
      <c r="S21" s="262">
        <v>0</v>
      </c>
      <c r="T21" s="36"/>
      <c r="U21" s="115">
        <v>2</v>
      </c>
      <c r="V21" s="256">
        <f>'Total Awards'!G17</f>
        <v>0</v>
      </c>
      <c r="W21" s="35">
        <v>1</v>
      </c>
      <c r="X21" s="36">
        <v>0</v>
      </c>
      <c r="Y21" s="36">
        <v>0</v>
      </c>
      <c r="Z21" s="118">
        <v>0</v>
      </c>
      <c r="AA21" s="118">
        <v>0</v>
      </c>
      <c r="AB21" s="272">
        <v>0</v>
      </c>
      <c r="AC21" s="36">
        <v>0</v>
      </c>
      <c r="AD21" s="36">
        <v>0</v>
      </c>
      <c r="AE21" s="36">
        <v>0</v>
      </c>
      <c r="AF21" s="35">
        <f t="shared" si="2"/>
        <v>1</v>
      </c>
      <c r="AG21" s="136">
        <f t="shared" si="3"/>
        <v>0</v>
      </c>
      <c r="AH21" s="174">
        <f t="shared" ref="AH21:AH29" si="12">E21+O21+Y21</f>
        <v>3</v>
      </c>
      <c r="AI21" s="36">
        <f t="shared" si="5"/>
        <v>1</v>
      </c>
      <c r="AJ21" s="36">
        <f t="shared" si="6"/>
        <v>0</v>
      </c>
      <c r="AK21" s="34">
        <f t="shared" si="10"/>
        <v>0</v>
      </c>
      <c r="AL21" s="34">
        <f t="shared" si="1"/>
        <v>0</v>
      </c>
      <c r="AM21" s="34">
        <f t="shared" si="1"/>
        <v>3</v>
      </c>
      <c r="AN21" s="34">
        <f t="shared" si="1"/>
        <v>3</v>
      </c>
      <c r="AO21" s="308">
        <f t="shared" si="7"/>
        <v>11</v>
      </c>
      <c r="AP21" s="199">
        <v>4400</v>
      </c>
      <c r="AQ21" s="47">
        <f t="shared" si="8"/>
        <v>17.600000000000001</v>
      </c>
      <c r="AR21" s="47">
        <f t="shared" si="9"/>
        <v>1.4666666666666668</v>
      </c>
    </row>
    <row r="22" spans="1:44" ht="15" x14ac:dyDescent="0.25">
      <c r="A22" s="114" t="s">
        <v>21</v>
      </c>
      <c r="B22" s="267">
        <f>'Total Awards'!E18</f>
        <v>0</v>
      </c>
      <c r="C22" s="262">
        <v>0</v>
      </c>
      <c r="D22" s="36">
        <v>1</v>
      </c>
      <c r="E22" s="287">
        <v>0</v>
      </c>
      <c r="F22" s="194">
        <v>0</v>
      </c>
      <c r="G22" s="288">
        <v>0</v>
      </c>
      <c r="H22" s="214">
        <v>0</v>
      </c>
      <c r="I22" s="214">
        <v>0</v>
      </c>
      <c r="J22" s="214">
        <v>1</v>
      </c>
      <c r="K22" s="239">
        <v>0</v>
      </c>
      <c r="L22" s="190">
        <f>'Total Awards'!F18</f>
        <v>1</v>
      </c>
      <c r="M22" s="36"/>
      <c r="N22" s="115">
        <v>1</v>
      </c>
      <c r="O22" s="117">
        <v>0</v>
      </c>
      <c r="P22" s="118">
        <v>0</v>
      </c>
      <c r="Q22" s="34">
        <v>0</v>
      </c>
      <c r="R22" s="129">
        <v>0</v>
      </c>
      <c r="S22" s="262">
        <v>2</v>
      </c>
      <c r="T22" s="36">
        <v>0</v>
      </c>
      <c r="U22" s="115">
        <v>0</v>
      </c>
      <c r="V22" s="256">
        <f>'Total Awards'!G19</f>
        <v>0</v>
      </c>
      <c r="W22" s="35">
        <v>0</v>
      </c>
      <c r="X22" s="36">
        <v>0</v>
      </c>
      <c r="Y22" s="36">
        <v>0</v>
      </c>
      <c r="Z22" s="118">
        <v>0</v>
      </c>
      <c r="AA22" s="118">
        <v>0</v>
      </c>
      <c r="AB22" s="272">
        <v>0</v>
      </c>
      <c r="AC22" s="36">
        <v>0</v>
      </c>
      <c r="AD22" s="36"/>
      <c r="AE22" s="36">
        <v>0</v>
      </c>
      <c r="AF22" s="35">
        <f t="shared" si="2"/>
        <v>0</v>
      </c>
      <c r="AG22" s="136">
        <f t="shared" si="3"/>
        <v>2</v>
      </c>
      <c r="AH22" s="174">
        <f t="shared" si="12"/>
        <v>0</v>
      </c>
      <c r="AI22" s="36">
        <f t="shared" si="5"/>
        <v>0</v>
      </c>
      <c r="AJ22" s="36">
        <f t="shared" si="6"/>
        <v>0</v>
      </c>
      <c r="AK22" s="34">
        <f t="shared" si="10"/>
        <v>0</v>
      </c>
      <c r="AL22" s="34">
        <f t="shared" si="1"/>
        <v>2</v>
      </c>
      <c r="AM22" s="34">
        <f t="shared" si="1"/>
        <v>1</v>
      </c>
      <c r="AN22" s="34">
        <f t="shared" si="1"/>
        <v>0</v>
      </c>
      <c r="AO22" s="308">
        <f t="shared" si="7"/>
        <v>5</v>
      </c>
      <c r="AP22" s="199">
        <v>3000</v>
      </c>
      <c r="AQ22" s="47">
        <f t="shared" si="8"/>
        <v>12</v>
      </c>
      <c r="AR22" s="47">
        <f t="shared" si="9"/>
        <v>1</v>
      </c>
    </row>
    <row r="23" spans="1:44" ht="15" x14ac:dyDescent="0.25">
      <c r="A23" s="112" t="s">
        <v>23</v>
      </c>
      <c r="B23" s="267">
        <f>'Total Awards'!E19</f>
        <v>5</v>
      </c>
      <c r="C23" s="262">
        <v>0</v>
      </c>
      <c r="D23" s="36">
        <v>2</v>
      </c>
      <c r="E23" s="287">
        <v>2</v>
      </c>
      <c r="F23" s="194">
        <v>1</v>
      </c>
      <c r="G23" s="288">
        <v>0</v>
      </c>
      <c r="H23" s="214">
        <v>1</v>
      </c>
      <c r="I23" s="214">
        <v>1</v>
      </c>
      <c r="J23" s="214">
        <v>2</v>
      </c>
      <c r="K23" s="239">
        <v>0</v>
      </c>
      <c r="L23" s="190">
        <f>'Total Awards'!F19</f>
        <v>0</v>
      </c>
      <c r="M23" s="36"/>
      <c r="N23" s="115">
        <v>0</v>
      </c>
      <c r="O23" s="117">
        <v>0</v>
      </c>
      <c r="P23" s="118">
        <v>0</v>
      </c>
      <c r="Q23" s="34">
        <v>0</v>
      </c>
      <c r="R23" s="129">
        <v>0</v>
      </c>
      <c r="S23" s="262">
        <v>0</v>
      </c>
      <c r="T23" s="36"/>
      <c r="U23" s="115"/>
      <c r="V23" s="256">
        <f>'Total Awards'!G19</f>
        <v>0</v>
      </c>
      <c r="W23" s="35">
        <v>0</v>
      </c>
      <c r="X23" s="36">
        <v>0</v>
      </c>
      <c r="Y23" s="36">
        <v>0</v>
      </c>
      <c r="Z23" s="118">
        <v>0</v>
      </c>
      <c r="AA23" s="118">
        <v>0</v>
      </c>
      <c r="AB23" s="272">
        <v>0</v>
      </c>
      <c r="AC23" s="36">
        <v>0</v>
      </c>
      <c r="AD23" s="36"/>
      <c r="AE23" s="36">
        <v>0</v>
      </c>
      <c r="AF23" s="35">
        <f t="shared" si="2"/>
        <v>0</v>
      </c>
      <c r="AG23" s="136">
        <f t="shared" si="3"/>
        <v>2</v>
      </c>
      <c r="AH23" s="174">
        <f t="shared" si="12"/>
        <v>2</v>
      </c>
      <c r="AI23" s="36">
        <f t="shared" si="5"/>
        <v>1</v>
      </c>
      <c r="AJ23" s="36">
        <f t="shared" si="6"/>
        <v>0</v>
      </c>
      <c r="AK23" s="34">
        <f t="shared" si="10"/>
        <v>1</v>
      </c>
      <c r="AL23" s="34">
        <f t="shared" si="1"/>
        <v>1</v>
      </c>
      <c r="AM23" s="34">
        <f t="shared" si="1"/>
        <v>2</v>
      </c>
      <c r="AN23" s="34">
        <f t="shared" si="1"/>
        <v>0</v>
      </c>
      <c r="AO23" s="308">
        <f t="shared" si="7"/>
        <v>9</v>
      </c>
      <c r="AP23" s="199">
        <v>2400</v>
      </c>
      <c r="AQ23" s="47">
        <v>10</v>
      </c>
      <c r="AR23" s="47">
        <v>1</v>
      </c>
    </row>
    <row r="24" spans="1:44" ht="15" x14ac:dyDescent="0.25">
      <c r="A24" s="114" t="s">
        <v>25</v>
      </c>
      <c r="B24" s="267">
        <f>'Total Awards'!E20</f>
        <v>13</v>
      </c>
      <c r="C24" s="262">
        <v>1</v>
      </c>
      <c r="D24" s="36">
        <v>0</v>
      </c>
      <c r="E24" s="287">
        <f>7-1</f>
        <v>6</v>
      </c>
      <c r="F24" s="194">
        <v>6</v>
      </c>
      <c r="G24" s="288">
        <f>3-1</f>
        <v>2</v>
      </c>
      <c r="H24" s="214">
        <v>1</v>
      </c>
      <c r="I24" s="214">
        <v>5</v>
      </c>
      <c r="J24" s="214">
        <v>3</v>
      </c>
      <c r="K24" s="239">
        <v>4</v>
      </c>
      <c r="L24" s="190">
        <f>'Total Awards'!F20</f>
        <v>7</v>
      </c>
      <c r="M24" s="36">
        <v>1</v>
      </c>
      <c r="N24" s="115">
        <v>2</v>
      </c>
      <c r="O24" s="117">
        <v>1</v>
      </c>
      <c r="P24" s="118">
        <v>1</v>
      </c>
      <c r="Q24" s="34">
        <v>0</v>
      </c>
      <c r="R24" s="129">
        <v>3</v>
      </c>
      <c r="S24" s="262">
        <v>4</v>
      </c>
      <c r="T24" s="36">
        <v>1</v>
      </c>
      <c r="U24" s="115"/>
      <c r="V24" s="256">
        <f>'Total Awards'!G20</f>
        <v>33</v>
      </c>
      <c r="W24" s="35">
        <v>1</v>
      </c>
      <c r="X24" s="36">
        <v>2</v>
      </c>
      <c r="Y24" s="36">
        <v>12</v>
      </c>
      <c r="Z24" s="118">
        <v>12</v>
      </c>
      <c r="AA24" s="118">
        <v>10</v>
      </c>
      <c r="AB24" s="272">
        <v>10</v>
      </c>
      <c r="AC24" s="36">
        <v>12</v>
      </c>
      <c r="AD24" s="36">
        <v>13</v>
      </c>
      <c r="AE24" s="36">
        <v>7</v>
      </c>
      <c r="AF24" s="35">
        <f t="shared" si="2"/>
        <v>3</v>
      </c>
      <c r="AG24" s="136">
        <f t="shared" si="3"/>
        <v>4</v>
      </c>
      <c r="AH24" s="174">
        <f t="shared" si="12"/>
        <v>19</v>
      </c>
      <c r="AI24" s="36">
        <f t="shared" si="5"/>
        <v>19</v>
      </c>
      <c r="AJ24" s="36">
        <f t="shared" si="6"/>
        <v>12</v>
      </c>
      <c r="AK24" s="34">
        <f t="shared" si="10"/>
        <v>14</v>
      </c>
      <c r="AL24" s="34">
        <f t="shared" si="1"/>
        <v>21</v>
      </c>
      <c r="AM24" s="34">
        <f t="shared" si="1"/>
        <v>17</v>
      </c>
      <c r="AN24" s="34">
        <f t="shared" si="1"/>
        <v>11</v>
      </c>
      <c r="AO24" s="308">
        <f t="shared" si="7"/>
        <v>127</v>
      </c>
      <c r="AP24" s="199">
        <v>23650</v>
      </c>
      <c r="AQ24" s="47">
        <f t="shared" ref="AQ24:AQ25" si="13">AP24/250</f>
        <v>94.6</v>
      </c>
      <c r="AR24" s="47">
        <f t="shared" ref="AR24" si="14">AQ24/12</f>
        <v>7.8833333333333329</v>
      </c>
    </row>
    <row r="25" spans="1:44" x14ac:dyDescent="0.2">
      <c r="A25" t="s">
        <v>27</v>
      </c>
      <c r="B25" s="267">
        <f>'Total Awards'!E21</f>
        <v>0</v>
      </c>
      <c r="C25" s="262">
        <v>0</v>
      </c>
      <c r="D25" s="36">
        <v>0</v>
      </c>
      <c r="E25" s="287">
        <v>2</v>
      </c>
      <c r="F25" s="194"/>
      <c r="G25" s="288">
        <v>2</v>
      </c>
      <c r="H25" s="214">
        <v>0</v>
      </c>
      <c r="I25" s="214">
        <v>0</v>
      </c>
      <c r="J25" s="214">
        <v>2</v>
      </c>
      <c r="K25" s="239">
        <v>1</v>
      </c>
      <c r="L25" s="190">
        <f>'Total Awards'!F21</f>
        <v>0</v>
      </c>
      <c r="M25" s="36"/>
      <c r="N25" s="115">
        <v>0</v>
      </c>
      <c r="O25" s="117">
        <v>0</v>
      </c>
      <c r="P25" s="118">
        <v>0</v>
      </c>
      <c r="Q25" s="34">
        <v>0</v>
      </c>
      <c r="R25" s="129">
        <v>0</v>
      </c>
      <c r="S25" s="262">
        <v>0</v>
      </c>
      <c r="T25" s="36"/>
      <c r="U25" s="115"/>
      <c r="V25" s="256">
        <f>'Total Awards'!G21</f>
        <v>0</v>
      </c>
      <c r="W25" s="35">
        <v>0</v>
      </c>
      <c r="X25" s="36">
        <v>0</v>
      </c>
      <c r="Y25" s="36">
        <v>0</v>
      </c>
      <c r="Z25" s="118">
        <v>0</v>
      </c>
      <c r="AA25" s="118">
        <v>0</v>
      </c>
      <c r="AB25" s="272">
        <v>0</v>
      </c>
      <c r="AC25" s="36">
        <v>0</v>
      </c>
      <c r="AD25" s="36"/>
      <c r="AE25" s="36">
        <v>0</v>
      </c>
      <c r="AF25" s="35"/>
      <c r="AG25" s="136">
        <f t="shared" si="3"/>
        <v>0</v>
      </c>
      <c r="AH25" s="174">
        <f t="shared" si="12"/>
        <v>2</v>
      </c>
      <c r="AI25" s="36">
        <f t="shared" si="5"/>
        <v>0</v>
      </c>
      <c r="AJ25" s="36">
        <f t="shared" si="6"/>
        <v>2</v>
      </c>
      <c r="AK25" s="34">
        <f t="shared" si="10"/>
        <v>0</v>
      </c>
      <c r="AL25" s="34">
        <f t="shared" si="1"/>
        <v>0</v>
      </c>
      <c r="AM25" s="34">
        <f t="shared" si="1"/>
        <v>2</v>
      </c>
      <c r="AN25" s="34">
        <f t="shared" si="1"/>
        <v>1</v>
      </c>
      <c r="AO25" s="308">
        <f t="shared" si="7"/>
        <v>7</v>
      </c>
      <c r="AP25" s="200">
        <v>2900</v>
      </c>
      <c r="AQ25" s="47">
        <f t="shared" si="13"/>
        <v>11.6</v>
      </c>
      <c r="AR25" s="47">
        <v>1</v>
      </c>
    </row>
    <row r="26" spans="1:44" ht="15" x14ac:dyDescent="0.25">
      <c r="A26" s="112" t="s">
        <v>29</v>
      </c>
      <c r="B26" s="267">
        <f>'Total Awards'!E22</f>
        <v>3</v>
      </c>
      <c r="C26" s="262">
        <v>0</v>
      </c>
      <c r="D26" s="36">
        <v>0</v>
      </c>
      <c r="E26" s="287">
        <v>0</v>
      </c>
      <c r="F26" s="194">
        <v>4</v>
      </c>
      <c r="G26" s="288">
        <v>1</v>
      </c>
      <c r="H26" s="214">
        <v>3</v>
      </c>
      <c r="I26" s="214">
        <v>2</v>
      </c>
      <c r="J26" s="214">
        <v>0</v>
      </c>
      <c r="K26" s="239">
        <v>0</v>
      </c>
      <c r="L26" s="190">
        <f>'Total Awards'!F22</f>
        <v>0</v>
      </c>
      <c r="M26" s="36"/>
      <c r="N26" s="115">
        <v>0</v>
      </c>
      <c r="O26" s="117">
        <v>0</v>
      </c>
      <c r="P26" s="118">
        <v>0</v>
      </c>
      <c r="Q26" s="34">
        <v>0</v>
      </c>
      <c r="R26" s="129">
        <v>0</v>
      </c>
      <c r="S26" s="262">
        <v>0</v>
      </c>
      <c r="T26" s="36"/>
      <c r="U26" s="115"/>
      <c r="V26" s="256">
        <f>'Total Awards'!G22</f>
        <v>2</v>
      </c>
      <c r="W26" s="35">
        <v>3</v>
      </c>
      <c r="X26" s="36">
        <v>0</v>
      </c>
      <c r="Y26" s="36">
        <v>0</v>
      </c>
      <c r="Z26" s="118">
        <v>3</v>
      </c>
      <c r="AA26" s="118">
        <v>0</v>
      </c>
      <c r="AB26" s="272">
        <v>1</v>
      </c>
      <c r="AC26" s="36">
        <v>0</v>
      </c>
      <c r="AD26" s="36">
        <v>0</v>
      </c>
      <c r="AE26" s="36">
        <v>0</v>
      </c>
      <c r="AF26" s="35">
        <f t="shared" si="2"/>
        <v>3</v>
      </c>
      <c r="AG26" s="136">
        <f t="shared" si="3"/>
        <v>0</v>
      </c>
      <c r="AH26" s="174">
        <f t="shared" si="12"/>
        <v>0</v>
      </c>
      <c r="AI26" s="36">
        <f t="shared" si="5"/>
        <v>7</v>
      </c>
      <c r="AJ26" s="36">
        <f t="shared" si="6"/>
        <v>1</v>
      </c>
      <c r="AK26" s="34">
        <f t="shared" si="10"/>
        <v>4</v>
      </c>
      <c r="AL26" s="34">
        <f t="shared" si="1"/>
        <v>2</v>
      </c>
      <c r="AM26" s="34">
        <f t="shared" si="1"/>
        <v>0</v>
      </c>
      <c r="AN26" s="34">
        <f t="shared" si="1"/>
        <v>0</v>
      </c>
      <c r="AO26" s="308">
        <f t="shared" si="7"/>
        <v>17</v>
      </c>
      <c r="AP26" s="199">
        <v>3200</v>
      </c>
      <c r="AQ26" s="47">
        <v>13</v>
      </c>
      <c r="AR26" s="47">
        <f t="shared" si="9"/>
        <v>1.0833333333333333</v>
      </c>
    </row>
    <row r="27" spans="1:44" ht="15" x14ac:dyDescent="0.25">
      <c r="A27" s="187" t="s">
        <v>33</v>
      </c>
      <c r="B27" s="267">
        <f>'Total Awards'!E24</f>
        <v>2</v>
      </c>
      <c r="C27" s="262"/>
      <c r="D27" s="36"/>
      <c r="E27" s="287">
        <v>1</v>
      </c>
      <c r="F27" s="194"/>
      <c r="G27" s="288">
        <v>0</v>
      </c>
      <c r="H27" s="214">
        <v>0</v>
      </c>
      <c r="I27" s="214">
        <v>2</v>
      </c>
      <c r="J27" s="214">
        <v>2</v>
      </c>
      <c r="K27" s="239">
        <v>0</v>
      </c>
      <c r="L27" s="190">
        <f>'Total Awards'!F24</f>
        <v>1</v>
      </c>
      <c r="M27" s="36"/>
      <c r="N27" s="115"/>
      <c r="O27" s="117">
        <v>0</v>
      </c>
      <c r="P27" s="118">
        <v>1</v>
      </c>
      <c r="Q27" s="34">
        <v>0</v>
      </c>
      <c r="R27" s="129">
        <v>0</v>
      </c>
      <c r="S27" s="262">
        <v>0</v>
      </c>
      <c r="T27" s="36"/>
      <c r="U27" s="115"/>
      <c r="V27" s="256">
        <f>'Total Awards'!G24</f>
        <v>1</v>
      </c>
      <c r="W27" s="35"/>
      <c r="X27" s="36"/>
      <c r="Y27" s="36"/>
      <c r="Z27" s="118">
        <v>1</v>
      </c>
      <c r="AA27" s="118">
        <v>0</v>
      </c>
      <c r="AB27" s="272">
        <v>0</v>
      </c>
      <c r="AC27" s="36">
        <v>0</v>
      </c>
      <c r="AD27" s="36"/>
      <c r="AE27" s="36">
        <v>0</v>
      </c>
      <c r="AF27" s="35"/>
      <c r="AG27" s="136"/>
      <c r="AH27" s="174">
        <f t="shared" si="12"/>
        <v>1</v>
      </c>
      <c r="AI27" s="36">
        <f t="shared" si="5"/>
        <v>2</v>
      </c>
      <c r="AJ27" s="36">
        <f t="shared" si="6"/>
        <v>0</v>
      </c>
      <c r="AK27" s="34">
        <f t="shared" si="10"/>
        <v>0</v>
      </c>
      <c r="AL27" s="34">
        <f t="shared" si="1"/>
        <v>2</v>
      </c>
      <c r="AM27" s="34">
        <f t="shared" si="1"/>
        <v>2</v>
      </c>
      <c r="AN27" s="34">
        <f t="shared" si="1"/>
        <v>0</v>
      </c>
      <c r="AO27" s="308">
        <f t="shared" si="7"/>
        <v>7</v>
      </c>
      <c r="AP27" s="199"/>
      <c r="AQ27" s="47"/>
      <c r="AR27" s="47"/>
    </row>
    <row r="28" spans="1:44" ht="15.75" thickBot="1" x14ac:dyDescent="0.3">
      <c r="A28" s="187" t="s">
        <v>169</v>
      </c>
      <c r="B28" s="267">
        <f>'Total Awards'!E25</f>
        <v>1</v>
      </c>
      <c r="C28" s="269">
        <v>0</v>
      </c>
      <c r="D28" s="241">
        <v>0</v>
      </c>
      <c r="E28" s="289">
        <v>0</v>
      </c>
      <c r="F28" s="290">
        <v>0</v>
      </c>
      <c r="G28" s="291">
        <v>0</v>
      </c>
      <c r="H28" s="292">
        <v>0</v>
      </c>
      <c r="I28" s="292">
        <v>1</v>
      </c>
      <c r="J28" s="292">
        <v>1</v>
      </c>
      <c r="K28" s="270">
        <v>0</v>
      </c>
      <c r="L28" s="190">
        <f>'Total Awards'!F25</f>
        <v>2</v>
      </c>
      <c r="M28" s="36"/>
      <c r="N28" s="115">
        <v>1</v>
      </c>
      <c r="O28" s="117">
        <v>0</v>
      </c>
      <c r="P28" s="118">
        <v>3</v>
      </c>
      <c r="Q28" s="34">
        <v>1</v>
      </c>
      <c r="R28" s="129">
        <v>2</v>
      </c>
      <c r="S28" s="262">
        <v>3</v>
      </c>
      <c r="T28" s="36"/>
      <c r="U28" s="115"/>
      <c r="V28" s="256">
        <f>'Total Awards'!G25</f>
        <v>0</v>
      </c>
      <c r="W28" s="35">
        <v>0</v>
      </c>
      <c r="X28" s="36">
        <v>0</v>
      </c>
      <c r="Y28" s="36">
        <v>0</v>
      </c>
      <c r="Z28" s="118">
        <v>0</v>
      </c>
      <c r="AA28" s="118">
        <v>0</v>
      </c>
      <c r="AB28" s="272">
        <v>0</v>
      </c>
      <c r="AC28" s="36">
        <v>0</v>
      </c>
      <c r="AD28" s="36"/>
      <c r="AE28" s="36">
        <v>1</v>
      </c>
      <c r="AF28" s="35">
        <f t="shared" si="2"/>
        <v>0</v>
      </c>
      <c r="AG28" s="136">
        <f t="shared" si="3"/>
        <v>1</v>
      </c>
      <c r="AH28" s="174">
        <f t="shared" si="12"/>
        <v>0</v>
      </c>
      <c r="AI28" s="36">
        <f t="shared" si="5"/>
        <v>3</v>
      </c>
      <c r="AJ28" s="36">
        <f t="shared" si="6"/>
        <v>1</v>
      </c>
      <c r="AK28" s="34">
        <f t="shared" si="10"/>
        <v>2</v>
      </c>
      <c r="AL28" s="34">
        <f t="shared" si="1"/>
        <v>4</v>
      </c>
      <c r="AM28" s="34">
        <f t="shared" si="1"/>
        <v>1</v>
      </c>
      <c r="AN28" s="34">
        <f t="shared" si="1"/>
        <v>1</v>
      </c>
      <c r="AO28" s="308">
        <f t="shared" si="7"/>
        <v>14</v>
      </c>
      <c r="AP28" s="199">
        <v>6100</v>
      </c>
      <c r="AQ28" s="47">
        <f t="shared" si="8"/>
        <v>24.4</v>
      </c>
      <c r="AR28" s="47">
        <f t="shared" si="9"/>
        <v>2.0333333333333332</v>
      </c>
    </row>
    <row r="29" spans="1:44" ht="15.75" thickBot="1" x14ac:dyDescent="0.3">
      <c r="A29" s="24" t="s">
        <v>150</v>
      </c>
      <c r="B29" s="142">
        <f>'Total Awards'!E27</f>
        <v>1</v>
      </c>
      <c r="C29" s="219">
        <v>0</v>
      </c>
      <c r="D29" s="219">
        <v>0</v>
      </c>
      <c r="E29" s="293">
        <v>1</v>
      </c>
      <c r="F29" s="294">
        <v>0</v>
      </c>
      <c r="G29" s="295">
        <v>1</v>
      </c>
      <c r="H29" s="296">
        <v>0</v>
      </c>
      <c r="I29" s="296">
        <v>0</v>
      </c>
      <c r="J29" s="296">
        <v>1</v>
      </c>
      <c r="K29" s="238">
        <v>1</v>
      </c>
      <c r="L29" s="191">
        <f>'Total Awards'!F27</f>
        <v>0</v>
      </c>
      <c r="M29" s="130"/>
      <c r="N29" s="141">
        <v>0</v>
      </c>
      <c r="O29" s="192"/>
      <c r="P29" s="216">
        <v>0</v>
      </c>
      <c r="Q29" s="219">
        <v>0</v>
      </c>
      <c r="R29" s="240">
        <v>0</v>
      </c>
      <c r="S29" s="263">
        <v>0</v>
      </c>
      <c r="T29" s="264"/>
      <c r="U29" s="265"/>
      <c r="V29" s="257">
        <f t="shared" ref="V29" si="15">W29+X29+Y29</f>
        <v>0</v>
      </c>
      <c r="W29" s="161">
        <v>0</v>
      </c>
      <c r="X29" s="143">
        <v>0</v>
      </c>
      <c r="Y29" s="143">
        <v>0</v>
      </c>
      <c r="Z29" s="216">
        <v>0</v>
      </c>
      <c r="AA29" s="216"/>
      <c r="AB29" s="273">
        <v>0</v>
      </c>
      <c r="AC29" s="259">
        <v>0</v>
      </c>
      <c r="AD29" s="259"/>
      <c r="AE29" s="259">
        <v>0</v>
      </c>
      <c r="AF29" s="161">
        <f t="shared" si="2"/>
        <v>0</v>
      </c>
      <c r="AG29" s="130">
        <v>0</v>
      </c>
      <c r="AH29" s="175">
        <f t="shared" si="12"/>
        <v>1</v>
      </c>
      <c r="AI29" s="143">
        <f t="shared" si="5"/>
        <v>0</v>
      </c>
      <c r="AJ29" s="143">
        <f t="shared" si="6"/>
        <v>1</v>
      </c>
      <c r="AK29" s="34">
        <f t="shared" si="10"/>
        <v>0</v>
      </c>
      <c r="AL29" s="34">
        <f t="shared" ref="AL29" si="16">I29+S29+AC29</f>
        <v>0</v>
      </c>
      <c r="AM29" s="34">
        <f t="shared" ref="AM29" si="17">J29+T29+AD29</f>
        <v>1</v>
      </c>
      <c r="AN29" s="34">
        <f t="shared" ref="AN29" si="18">K29+U29+AE29</f>
        <v>1</v>
      </c>
      <c r="AO29" s="308">
        <f t="shared" si="7"/>
        <v>4</v>
      </c>
      <c r="AP29" s="201">
        <v>1900</v>
      </c>
      <c r="AQ29" s="121">
        <f t="shared" si="8"/>
        <v>7.6</v>
      </c>
      <c r="AR29" s="121">
        <v>1</v>
      </c>
    </row>
    <row r="30" spans="1:44" ht="15.75" thickBot="1" x14ac:dyDescent="0.3">
      <c r="A30" s="139" t="s">
        <v>86</v>
      </c>
      <c r="B30" s="151"/>
      <c r="C30" s="144"/>
      <c r="D30" s="144"/>
      <c r="E30" s="144"/>
      <c r="F30" s="144"/>
      <c r="G30" s="144"/>
      <c r="H30" s="144"/>
      <c r="I30" s="144"/>
      <c r="J30" s="144"/>
      <c r="K30" s="195"/>
      <c r="L30" s="169"/>
      <c r="M30" s="144"/>
      <c r="N30" s="144"/>
      <c r="O30" s="195"/>
      <c r="P30" s="195"/>
      <c r="Q30" s="195"/>
      <c r="R30" s="195"/>
      <c r="S30" s="258"/>
      <c r="T30" s="258"/>
      <c r="U30" s="258"/>
      <c r="V30" s="169"/>
      <c r="W30" s="144"/>
      <c r="X30" s="144"/>
      <c r="Y30" s="144"/>
      <c r="Z30" s="144"/>
      <c r="AA30" s="225"/>
      <c r="AB30" s="225"/>
      <c r="AC30" s="274"/>
      <c r="AD30" s="274"/>
      <c r="AE30" s="274"/>
      <c r="AF30" s="144"/>
      <c r="AG30" s="225"/>
      <c r="AH30" s="225"/>
      <c r="AI30" s="225"/>
      <c r="AJ30" s="225"/>
      <c r="AK30" s="225"/>
      <c r="AL30" s="225"/>
      <c r="AM30" s="225"/>
      <c r="AN30" s="225"/>
      <c r="AO30" s="309"/>
      <c r="AP30" s="225"/>
      <c r="AQ30" s="225"/>
      <c r="AR30" s="226"/>
    </row>
    <row r="31" spans="1:44" ht="15.75" thickBot="1" x14ac:dyDescent="0.3">
      <c r="A31" s="145" t="s">
        <v>47</v>
      </c>
      <c r="B31" s="193">
        <f>'Total Awards'!E30</f>
        <v>28</v>
      </c>
      <c r="C31" s="146">
        <v>3</v>
      </c>
      <c r="D31" s="146">
        <v>2</v>
      </c>
      <c r="E31" s="194">
        <v>5</v>
      </c>
      <c r="F31" s="194">
        <v>9</v>
      </c>
      <c r="G31" s="146">
        <v>13</v>
      </c>
      <c r="H31" s="214">
        <v>3</v>
      </c>
      <c r="I31" s="214">
        <v>7</v>
      </c>
      <c r="J31" s="214">
        <v>6</v>
      </c>
      <c r="K31" s="237">
        <v>6</v>
      </c>
      <c r="L31" s="190">
        <f>'Total Awards'!F30</f>
        <v>11</v>
      </c>
      <c r="M31" s="146">
        <v>1</v>
      </c>
      <c r="N31" s="146">
        <v>1</v>
      </c>
      <c r="O31" s="34">
        <v>1</v>
      </c>
      <c r="P31" s="118">
        <v>0</v>
      </c>
      <c r="Q31" s="34">
        <v>0</v>
      </c>
      <c r="R31" s="34">
        <v>0</v>
      </c>
      <c r="S31" s="34">
        <v>2</v>
      </c>
      <c r="T31" s="34">
        <v>2</v>
      </c>
      <c r="U31" s="34">
        <v>1</v>
      </c>
      <c r="V31" s="179">
        <f>'Total Awards'!G30</f>
        <v>9</v>
      </c>
      <c r="W31" s="214">
        <v>5</v>
      </c>
      <c r="X31" s="146">
        <v>0</v>
      </c>
      <c r="Y31" s="147">
        <v>6</v>
      </c>
      <c r="Z31" s="118">
        <v>4</v>
      </c>
      <c r="AA31" s="118">
        <v>5</v>
      </c>
      <c r="AB31" s="239">
        <v>3</v>
      </c>
      <c r="AC31" s="239">
        <v>9</v>
      </c>
      <c r="AD31" s="239">
        <v>5</v>
      </c>
      <c r="AE31" s="239">
        <v>7</v>
      </c>
      <c r="AF31" s="170">
        <f t="shared" ref="AF31:AI32" si="19">C31+M31+W31</f>
        <v>9</v>
      </c>
      <c r="AG31" s="172">
        <f t="shared" si="19"/>
        <v>3</v>
      </c>
      <c r="AH31" s="198">
        <f t="shared" si="19"/>
        <v>12</v>
      </c>
      <c r="AI31" s="198">
        <f t="shared" si="19"/>
        <v>13</v>
      </c>
      <c r="AJ31" s="224">
        <f t="shared" si="6"/>
        <v>18</v>
      </c>
      <c r="AK31" s="34">
        <f t="shared" si="10"/>
        <v>6</v>
      </c>
      <c r="AL31" s="34">
        <f t="shared" ref="AL31:AL32" si="20">I31+S31+AC31</f>
        <v>18</v>
      </c>
      <c r="AM31" s="34">
        <f t="shared" ref="AM31:AM32" si="21">J31+T31+AD31</f>
        <v>13</v>
      </c>
      <c r="AN31" s="34">
        <f t="shared" ref="AN31:AN32" si="22">K31+U31+AE31</f>
        <v>14</v>
      </c>
      <c r="AO31" s="308">
        <f t="shared" si="7"/>
        <v>113</v>
      </c>
      <c r="AP31" s="202">
        <v>14600</v>
      </c>
      <c r="AQ31" s="148">
        <f t="shared" si="8"/>
        <v>58.4</v>
      </c>
      <c r="AR31" s="148">
        <f t="shared" si="9"/>
        <v>4.8666666666666663</v>
      </c>
    </row>
    <row r="32" spans="1:44" ht="15.75" thickBot="1" x14ac:dyDescent="0.3">
      <c r="A32" s="149" t="s">
        <v>87</v>
      </c>
      <c r="B32" s="207">
        <f>'Total Awards'!E32</f>
        <v>20</v>
      </c>
      <c r="C32" s="197">
        <v>0</v>
      </c>
      <c r="D32" s="197">
        <v>1</v>
      </c>
      <c r="E32" s="208">
        <v>3</v>
      </c>
      <c r="F32" s="294">
        <v>2</v>
      </c>
      <c r="G32" s="197">
        <f>3-1</f>
        <v>2</v>
      </c>
      <c r="H32" s="297">
        <v>4</v>
      </c>
      <c r="I32" s="297">
        <f>8-1</f>
        <v>7</v>
      </c>
      <c r="J32" s="297">
        <f>6-1</f>
        <v>5</v>
      </c>
      <c r="K32" s="161">
        <v>3</v>
      </c>
      <c r="L32" s="209">
        <f>'Total Awards'!F32</f>
        <v>3</v>
      </c>
      <c r="M32" s="210"/>
      <c r="N32" s="210">
        <v>0</v>
      </c>
      <c r="O32" s="210">
        <v>0</v>
      </c>
      <c r="P32" s="216">
        <v>1</v>
      </c>
      <c r="Q32" s="219">
        <v>2</v>
      </c>
      <c r="R32" s="219">
        <v>0</v>
      </c>
      <c r="S32" s="219">
        <v>0</v>
      </c>
      <c r="T32" s="219">
        <v>2</v>
      </c>
      <c r="U32" s="219"/>
      <c r="V32" s="142">
        <f>'Total Awards'!G32</f>
        <v>0</v>
      </c>
      <c r="W32" s="215">
        <v>0</v>
      </c>
      <c r="X32" s="210">
        <v>0</v>
      </c>
      <c r="Y32" s="211">
        <v>0</v>
      </c>
      <c r="Z32" s="118">
        <v>0</v>
      </c>
      <c r="AA32" s="224">
        <v>1</v>
      </c>
      <c r="AB32" s="141">
        <v>0</v>
      </c>
      <c r="AC32" s="141">
        <v>0</v>
      </c>
      <c r="AD32" s="141">
        <v>1</v>
      </c>
      <c r="AE32" s="141">
        <v>1</v>
      </c>
      <c r="AF32" s="171">
        <f t="shared" si="19"/>
        <v>0</v>
      </c>
      <c r="AG32" s="173">
        <f t="shared" si="19"/>
        <v>1</v>
      </c>
      <c r="AH32" s="175">
        <f t="shared" si="19"/>
        <v>3</v>
      </c>
      <c r="AI32" s="175">
        <f t="shared" si="19"/>
        <v>3</v>
      </c>
      <c r="AJ32" s="219">
        <f t="shared" si="6"/>
        <v>5</v>
      </c>
      <c r="AK32" s="219">
        <f t="shared" si="10"/>
        <v>4</v>
      </c>
      <c r="AL32" s="219">
        <f t="shared" si="20"/>
        <v>7</v>
      </c>
      <c r="AM32" s="219">
        <f t="shared" si="21"/>
        <v>8</v>
      </c>
      <c r="AN32" s="219">
        <f t="shared" si="22"/>
        <v>4</v>
      </c>
      <c r="AO32" s="308">
        <f t="shared" si="7"/>
        <v>36</v>
      </c>
      <c r="AP32" s="203">
        <v>8400</v>
      </c>
      <c r="AQ32" s="150">
        <f t="shared" si="8"/>
        <v>33.6</v>
      </c>
      <c r="AR32" s="150">
        <f t="shared" si="9"/>
        <v>2.8000000000000003</v>
      </c>
    </row>
    <row r="33" spans="1:44" ht="15.75" thickBot="1" x14ac:dyDescent="0.3">
      <c r="A33" s="139" t="s">
        <v>43</v>
      </c>
      <c r="B33" s="217">
        <f t="shared" ref="B33:P33" si="23">SUM(B13:B32)</f>
        <v>100</v>
      </c>
      <c r="C33" s="218">
        <f t="shared" si="23"/>
        <v>8</v>
      </c>
      <c r="D33" s="218">
        <f t="shared" si="23"/>
        <v>14</v>
      </c>
      <c r="E33" s="213">
        <f t="shared" si="23"/>
        <v>33</v>
      </c>
      <c r="F33" s="218">
        <f t="shared" si="23"/>
        <v>36</v>
      </c>
      <c r="G33" s="212">
        <f t="shared" si="23"/>
        <v>38</v>
      </c>
      <c r="H33" s="212">
        <f>SUM(H13:H32)</f>
        <v>24</v>
      </c>
      <c r="I33" s="212">
        <f>SUM(I13:I32)</f>
        <v>46</v>
      </c>
      <c r="J33" s="212">
        <f>SUM(J13:J32)</f>
        <v>39</v>
      </c>
      <c r="K33" s="212">
        <f>SUM(K13:K32)</f>
        <v>30</v>
      </c>
      <c r="L33" s="299">
        <f t="shared" si="23"/>
        <v>31</v>
      </c>
      <c r="M33" s="299">
        <f t="shared" si="23"/>
        <v>4</v>
      </c>
      <c r="N33" s="300">
        <f t="shared" si="23"/>
        <v>9</v>
      </c>
      <c r="O33" s="301">
        <f t="shared" si="23"/>
        <v>5</v>
      </c>
      <c r="P33" s="301">
        <f t="shared" si="23"/>
        <v>8</v>
      </c>
      <c r="Q33" s="302">
        <f t="shared" ref="Q33:Y33" si="24">SUM(Q13:Q32)</f>
        <v>5</v>
      </c>
      <c r="R33" s="301">
        <f t="shared" si="24"/>
        <v>6</v>
      </c>
      <c r="S33" s="303">
        <f t="shared" si="24"/>
        <v>13</v>
      </c>
      <c r="T33" s="303">
        <f t="shared" si="24"/>
        <v>6</v>
      </c>
      <c r="U33" s="303">
        <f t="shared" si="24"/>
        <v>3</v>
      </c>
      <c r="V33" s="204">
        <f t="shared" si="24"/>
        <v>48</v>
      </c>
      <c r="W33" s="204">
        <f t="shared" si="24"/>
        <v>10</v>
      </c>
      <c r="X33" s="305">
        <f t="shared" si="24"/>
        <v>2</v>
      </c>
      <c r="Y33" s="306">
        <f t="shared" si="24"/>
        <v>18</v>
      </c>
      <c r="Z33" s="306">
        <v>21</v>
      </c>
      <c r="AA33" s="306">
        <f t="shared" ref="AA33:AG33" si="25">SUM(AA13:AA32)</f>
        <v>18</v>
      </c>
      <c r="AB33" s="306">
        <f t="shared" si="25"/>
        <v>14</v>
      </c>
      <c r="AC33" s="306">
        <f t="shared" si="25"/>
        <v>21</v>
      </c>
      <c r="AD33" s="306">
        <f t="shared" si="25"/>
        <v>20</v>
      </c>
      <c r="AE33" s="306">
        <f t="shared" si="25"/>
        <v>24</v>
      </c>
      <c r="AF33" s="205">
        <f t="shared" si="25"/>
        <v>22</v>
      </c>
      <c r="AG33" s="206">
        <f t="shared" si="25"/>
        <v>25</v>
      </c>
      <c r="AH33" s="85">
        <f>E33+O33+Y33</f>
        <v>56</v>
      </c>
      <c r="AI33" s="107">
        <f>SUM(AI13:AI32)</f>
        <v>65</v>
      </c>
      <c r="AJ33" s="107">
        <f t="shared" si="6"/>
        <v>61</v>
      </c>
      <c r="AK33" s="107">
        <f t="shared" si="10"/>
        <v>44</v>
      </c>
      <c r="AL33" s="107">
        <f t="shared" ref="AL33" si="26">I33+S33+AC33</f>
        <v>80</v>
      </c>
      <c r="AM33" s="107">
        <f t="shared" ref="AM33" si="27">J33+T33+AD33</f>
        <v>65</v>
      </c>
      <c r="AN33" s="107">
        <f t="shared" ref="AN33" si="28">K33+U33+AE33</f>
        <v>57</v>
      </c>
      <c r="AO33" s="275">
        <f>SUM(AO13:AO32)</f>
        <v>499</v>
      </c>
      <c r="AP33" s="152"/>
      <c r="AQ33" s="152"/>
      <c r="AR33" s="152"/>
    </row>
    <row r="34" spans="1:44" ht="15" thickBot="1" x14ac:dyDescent="0.25">
      <c r="A34" s="152"/>
      <c r="B34" s="158"/>
      <c r="C34" s="159"/>
      <c r="D34" s="159"/>
      <c r="E34" s="153"/>
      <c r="F34" s="153"/>
      <c r="G34" s="153"/>
      <c r="H34" s="153"/>
      <c r="I34" s="153"/>
      <c r="J34" s="153"/>
      <c r="K34" s="153"/>
      <c r="L34" s="154"/>
      <c r="M34" s="153"/>
      <c r="N34" s="155"/>
      <c r="O34" s="153"/>
      <c r="P34" s="153"/>
      <c r="Q34" s="153"/>
      <c r="R34" s="153"/>
      <c r="S34" s="153"/>
      <c r="T34" s="153"/>
      <c r="U34" s="153"/>
      <c r="V34" s="154"/>
      <c r="W34" s="153"/>
      <c r="X34" s="153"/>
      <c r="Y34" s="153"/>
      <c r="Z34" s="153"/>
      <c r="AA34" s="153">
        <v>18</v>
      </c>
      <c r="AB34" s="153"/>
      <c r="AC34" s="153">
        <v>21</v>
      </c>
      <c r="AD34" s="153">
        <v>20</v>
      </c>
      <c r="AE34" s="153">
        <v>24</v>
      </c>
      <c r="AF34" s="156"/>
      <c r="AG34" s="156"/>
      <c r="AH34" s="156"/>
      <c r="AI34" s="153"/>
      <c r="AJ34" s="153"/>
      <c r="AK34" s="153"/>
      <c r="AL34" s="153"/>
      <c r="AM34" s="153"/>
      <c r="AN34" s="153"/>
      <c r="AO34" s="152"/>
      <c r="AP34" s="152"/>
      <c r="AQ34" s="152"/>
      <c r="AR34" s="152"/>
    </row>
    <row r="35" spans="1:44" ht="15.75" thickBot="1" x14ac:dyDescent="0.3">
      <c r="A35" s="139" t="s">
        <v>44</v>
      </c>
      <c r="B35" s="298">
        <f>'Total Awards'!E34</f>
        <v>20908</v>
      </c>
      <c r="C35" s="162"/>
      <c r="D35" s="162"/>
      <c r="E35" s="163"/>
      <c r="F35" s="163"/>
      <c r="G35" s="163"/>
      <c r="H35" s="163"/>
      <c r="I35" s="163"/>
      <c r="J35" s="163"/>
      <c r="K35" s="163"/>
      <c r="L35" s="304">
        <f>'Total Awards'!F34</f>
        <v>7931</v>
      </c>
      <c r="M35" s="164"/>
      <c r="N35" s="164"/>
      <c r="O35" s="164"/>
      <c r="P35" s="164"/>
      <c r="Q35" s="164"/>
      <c r="R35" s="164"/>
      <c r="S35" s="164"/>
      <c r="T35" s="164"/>
      <c r="U35" s="164"/>
      <c r="V35" s="307">
        <f>'Total Awards'!G34</f>
        <v>5270</v>
      </c>
      <c r="W35" s="166"/>
      <c r="X35" s="167"/>
      <c r="Y35" s="167"/>
      <c r="Z35" s="167"/>
      <c r="AA35" s="167"/>
      <c r="AB35" s="167"/>
      <c r="AC35" s="167"/>
      <c r="AD35" s="167"/>
      <c r="AE35" s="167"/>
      <c r="AF35" s="166"/>
      <c r="AG35" s="166"/>
      <c r="AH35" s="163"/>
      <c r="AI35" s="163"/>
      <c r="AJ35" s="163"/>
      <c r="AK35" s="163"/>
      <c r="AL35" s="163"/>
      <c r="AM35" s="163"/>
      <c r="AN35" s="163"/>
      <c r="AO35" s="157">
        <f>SUM(B35:V35)</f>
        <v>34109</v>
      </c>
      <c r="AP35" s="152"/>
      <c r="AQ35" s="152"/>
      <c r="AR35" s="152"/>
    </row>
    <row r="36" spans="1:44" x14ac:dyDescent="0.2">
      <c r="AQ36" s="88"/>
    </row>
    <row r="37" spans="1:44" x14ac:dyDescent="0.2">
      <c r="AQ37" s="88"/>
    </row>
    <row r="38" spans="1:44" ht="15.75" thickBot="1" x14ac:dyDescent="0.3">
      <c r="A38" s="128" t="s">
        <v>162</v>
      </c>
    </row>
    <row r="39" spans="1:44" ht="29.25" thickBot="1" x14ac:dyDescent="0.25">
      <c r="A39" s="125" t="s">
        <v>159</v>
      </c>
      <c r="B39" s="126" t="s">
        <v>155</v>
      </c>
      <c r="C39" s="126" t="s">
        <v>160</v>
      </c>
      <c r="D39" s="127" t="s">
        <v>161</v>
      </c>
      <c r="E39" s="81"/>
      <c r="F39" s="81"/>
      <c r="G39" s="81"/>
      <c r="H39" s="81"/>
      <c r="I39" s="81"/>
      <c r="J39" s="81"/>
      <c r="K39" s="81"/>
    </row>
    <row r="40" spans="1:44" x14ac:dyDescent="0.2">
      <c r="A40" s="89" t="s">
        <v>144</v>
      </c>
      <c r="B40" s="124">
        <v>8400</v>
      </c>
      <c r="C40" s="72">
        <f>B40/250</f>
        <v>33.6</v>
      </c>
      <c r="D40" s="72">
        <f>C40/12</f>
        <v>2.8000000000000003</v>
      </c>
      <c r="E40" s="82"/>
      <c r="F40" s="82"/>
      <c r="G40" s="82"/>
      <c r="H40" s="82"/>
      <c r="I40" s="82"/>
      <c r="J40" s="82"/>
      <c r="K40" s="82"/>
    </row>
    <row r="41" spans="1:44" x14ac:dyDescent="0.2">
      <c r="A41" s="1" t="s">
        <v>145</v>
      </c>
      <c r="B41" s="119">
        <v>14600</v>
      </c>
      <c r="C41" s="47">
        <f t="shared" ref="C41:C61" si="29">B41/250</f>
        <v>58.4</v>
      </c>
      <c r="D41" s="47">
        <f t="shared" ref="D41:D61" si="30">C41/12</f>
        <v>4.8666666666666663</v>
      </c>
      <c r="E41" s="82"/>
      <c r="F41" s="82"/>
      <c r="G41" s="82"/>
      <c r="H41" s="82"/>
      <c r="I41" s="82"/>
      <c r="J41" s="82"/>
      <c r="K41" s="82"/>
    </row>
    <row r="42" spans="1:44" x14ac:dyDescent="0.2">
      <c r="A42" s="1" t="s">
        <v>29</v>
      </c>
      <c r="B42" s="119">
        <v>3200</v>
      </c>
      <c r="C42" s="47">
        <f t="shared" si="29"/>
        <v>12.8</v>
      </c>
      <c r="D42" s="47">
        <f t="shared" si="30"/>
        <v>1.0666666666666667</v>
      </c>
      <c r="E42" s="82"/>
      <c r="F42" s="82"/>
      <c r="G42" s="82"/>
      <c r="H42" s="82"/>
      <c r="I42" s="82"/>
      <c r="J42" s="82"/>
      <c r="K42" s="82"/>
    </row>
    <row r="43" spans="1:44" x14ac:dyDescent="0.2">
      <c r="A43" s="1" t="s">
        <v>3</v>
      </c>
      <c r="B43" s="119">
        <v>5500</v>
      </c>
      <c r="C43" s="47">
        <f t="shared" si="29"/>
        <v>22</v>
      </c>
      <c r="D43" s="47">
        <f t="shared" si="30"/>
        <v>1.8333333333333333</v>
      </c>
      <c r="E43" s="82"/>
      <c r="F43" s="82"/>
      <c r="G43" s="82"/>
      <c r="H43" s="82"/>
      <c r="I43" s="82"/>
      <c r="J43" s="82"/>
      <c r="K43" s="82"/>
    </row>
    <row r="44" spans="1:44" ht="12.75" customHeight="1" x14ac:dyDescent="0.2">
      <c r="A44" s="1" t="s">
        <v>25</v>
      </c>
      <c r="B44" s="119">
        <v>23650</v>
      </c>
      <c r="C44" s="47">
        <f t="shared" si="29"/>
        <v>94.6</v>
      </c>
      <c r="D44" s="47">
        <f t="shared" si="30"/>
        <v>7.8833333333333329</v>
      </c>
      <c r="E44" s="82"/>
      <c r="F44" s="82"/>
      <c r="G44" s="82"/>
      <c r="H44" s="82"/>
      <c r="I44" s="82"/>
      <c r="J44" s="82"/>
      <c r="K44" s="82"/>
    </row>
    <row r="45" spans="1:44" x14ac:dyDescent="0.2">
      <c r="A45" s="1" t="s">
        <v>146</v>
      </c>
      <c r="B45" s="119">
        <v>13800</v>
      </c>
      <c r="C45" s="47">
        <f t="shared" si="29"/>
        <v>55.2</v>
      </c>
      <c r="D45" s="47">
        <f t="shared" si="30"/>
        <v>4.6000000000000005</v>
      </c>
      <c r="E45" s="82"/>
      <c r="F45" s="82"/>
      <c r="G45" s="82"/>
      <c r="H45" s="82"/>
      <c r="I45" s="82"/>
      <c r="J45" s="82"/>
      <c r="K45" s="82"/>
    </row>
    <row r="46" spans="1:44" x14ac:dyDescent="0.2">
      <c r="A46" s="1" t="s">
        <v>5</v>
      </c>
      <c r="B46" s="119">
        <v>1700</v>
      </c>
      <c r="C46" s="47">
        <f t="shared" si="29"/>
        <v>6.8</v>
      </c>
      <c r="D46" s="47">
        <f t="shared" si="30"/>
        <v>0.56666666666666665</v>
      </c>
      <c r="E46" s="82"/>
      <c r="F46" s="82"/>
      <c r="G46" s="82"/>
      <c r="H46" s="82"/>
      <c r="I46" s="82"/>
      <c r="J46" s="82"/>
      <c r="K46" s="82"/>
    </row>
    <row r="47" spans="1:44" x14ac:dyDescent="0.2">
      <c r="A47" s="1" t="s">
        <v>13</v>
      </c>
      <c r="B47" s="119">
        <v>1100</v>
      </c>
      <c r="C47" s="47">
        <f t="shared" si="29"/>
        <v>4.4000000000000004</v>
      </c>
      <c r="D47" s="47">
        <f t="shared" si="30"/>
        <v>0.3666666666666667</v>
      </c>
      <c r="E47" s="82"/>
      <c r="F47" s="82"/>
      <c r="G47" s="82"/>
      <c r="H47" s="82"/>
      <c r="I47" s="82"/>
      <c r="J47" s="82"/>
      <c r="K47" s="82"/>
    </row>
    <row r="48" spans="1:44" x14ac:dyDescent="0.2">
      <c r="A48" s="1" t="s">
        <v>147</v>
      </c>
      <c r="B48" s="119">
        <v>5750</v>
      </c>
      <c r="C48" s="47">
        <f t="shared" si="29"/>
        <v>23</v>
      </c>
      <c r="D48" s="47">
        <f t="shared" si="30"/>
        <v>1.9166666666666667</v>
      </c>
      <c r="E48" s="82"/>
      <c r="F48" s="82"/>
      <c r="G48" s="82"/>
      <c r="H48" s="82"/>
      <c r="I48" s="82"/>
      <c r="J48" s="82"/>
      <c r="K48" s="82"/>
    </row>
    <row r="49" spans="1:11" x14ac:dyDescent="0.2">
      <c r="A49" s="1" t="s">
        <v>148</v>
      </c>
      <c r="B49" s="119">
        <v>2800</v>
      </c>
      <c r="C49" s="47">
        <f t="shared" si="29"/>
        <v>11.2</v>
      </c>
      <c r="D49" s="47">
        <f t="shared" si="30"/>
        <v>0.93333333333333324</v>
      </c>
      <c r="E49" s="82"/>
      <c r="F49" s="82"/>
      <c r="G49" s="82"/>
      <c r="H49" s="82"/>
      <c r="I49" s="82"/>
      <c r="J49" s="82"/>
      <c r="K49" s="82"/>
    </row>
    <row r="50" spans="1:11" x14ac:dyDescent="0.2">
      <c r="A50" s="1" t="s">
        <v>19</v>
      </c>
      <c r="B50" s="119">
        <v>4400</v>
      </c>
      <c r="C50" s="47">
        <f t="shared" si="29"/>
        <v>17.600000000000001</v>
      </c>
      <c r="D50" s="47">
        <f t="shared" si="30"/>
        <v>1.4666666666666668</v>
      </c>
      <c r="E50" s="82"/>
      <c r="F50" s="82"/>
      <c r="G50" s="82"/>
      <c r="H50" s="82"/>
      <c r="I50" s="82"/>
      <c r="J50" s="82"/>
      <c r="K50" s="82"/>
    </row>
    <row r="51" spans="1:11" x14ac:dyDescent="0.2">
      <c r="A51" s="1" t="s">
        <v>149</v>
      </c>
      <c r="B51" s="119">
        <v>2400</v>
      </c>
      <c r="C51" s="47">
        <f t="shared" si="29"/>
        <v>9.6</v>
      </c>
      <c r="D51" s="47">
        <f t="shared" si="30"/>
        <v>0.79999999999999993</v>
      </c>
      <c r="E51" s="82"/>
      <c r="F51" s="82"/>
      <c r="G51" s="82"/>
      <c r="H51" s="82"/>
      <c r="I51" s="82"/>
      <c r="J51" s="82"/>
      <c r="K51" s="82"/>
    </row>
    <row r="52" spans="1:11" x14ac:dyDescent="0.2">
      <c r="A52" s="1" t="s">
        <v>27</v>
      </c>
      <c r="B52" s="119">
        <v>2900</v>
      </c>
      <c r="C52" s="47">
        <f t="shared" si="29"/>
        <v>11.6</v>
      </c>
      <c r="D52" s="47">
        <f t="shared" si="30"/>
        <v>0.96666666666666667</v>
      </c>
      <c r="E52" s="82"/>
      <c r="F52" s="82"/>
      <c r="G52" s="82"/>
      <c r="H52" s="82"/>
      <c r="I52" s="82"/>
      <c r="J52" s="82"/>
      <c r="K52" s="82"/>
    </row>
    <row r="53" spans="1:11" x14ac:dyDescent="0.2">
      <c r="A53" s="1" t="s">
        <v>33</v>
      </c>
      <c r="B53" s="119">
        <v>2050</v>
      </c>
      <c r="C53" s="47">
        <f t="shared" si="29"/>
        <v>8.1999999999999993</v>
      </c>
      <c r="D53" s="47">
        <f t="shared" si="30"/>
        <v>0.68333333333333324</v>
      </c>
      <c r="E53" s="82"/>
      <c r="F53" s="82"/>
      <c r="G53" s="82"/>
      <c r="H53" s="82"/>
      <c r="I53" s="82"/>
      <c r="J53" s="82"/>
      <c r="K53" s="82"/>
    </row>
    <row r="54" spans="1:11" x14ac:dyDescent="0.2">
      <c r="A54" s="1" t="s">
        <v>150</v>
      </c>
      <c r="B54" s="119">
        <v>1900</v>
      </c>
      <c r="C54" s="47">
        <f t="shared" si="29"/>
        <v>7.6</v>
      </c>
      <c r="D54" s="47">
        <f t="shared" si="30"/>
        <v>0.6333333333333333</v>
      </c>
      <c r="E54" s="82"/>
      <c r="F54" s="82"/>
      <c r="G54" s="82"/>
      <c r="H54" s="82"/>
      <c r="I54" s="82"/>
      <c r="J54" s="82"/>
      <c r="K54" s="82"/>
    </row>
    <row r="55" spans="1:11" x14ac:dyDescent="0.2">
      <c r="A55" s="1" t="s">
        <v>151</v>
      </c>
      <c r="B55" s="119">
        <v>6100</v>
      </c>
      <c r="C55" s="47">
        <f t="shared" si="29"/>
        <v>24.4</v>
      </c>
      <c r="D55" s="47">
        <f t="shared" si="30"/>
        <v>2.0333333333333332</v>
      </c>
      <c r="E55" s="82"/>
      <c r="F55" s="82"/>
      <c r="G55" s="82"/>
      <c r="H55" s="82"/>
      <c r="I55" s="82"/>
      <c r="J55" s="82"/>
      <c r="K55" s="82"/>
    </row>
    <row r="56" spans="1:11" x14ac:dyDescent="0.2">
      <c r="A56" s="1" t="s">
        <v>9</v>
      </c>
      <c r="B56" s="119">
        <v>4200</v>
      </c>
      <c r="C56" s="47">
        <f t="shared" si="29"/>
        <v>16.8</v>
      </c>
      <c r="D56" s="47">
        <f t="shared" si="30"/>
        <v>1.4000000000000001</v>
      </c>
      <c r="E56" s="82"/>
      <c r="F56" s="82"/>
      <c r="G56" s="82"/>
      <c r="H56" s="82"/>
      <c r="I56" s="82"/>
      <c r="J56" s="82"/>
      <c r="K56" s="82"/>
    </row>
    <row r="57" spans="1:11" x14ac:dyDescent="0.2">
      <c r="A57" s="1" t="s">
        <v>152</v>
      </c>
      <c r="B57" s="119">
        <v>1400</v>
      </c>
      <c r="C57" s="47">
        <f t="shared" si="29"/>
        <v>5.6</v>
      </c>
      <c r="D57" s="47">
        <f t="shared" si="30"/>
        <v>0.46666666666666662</v>
      </c>
      <c r="E57" s="82"/>
      <c r="F57" s="82"/>
      <c r="G57" s="82"/>
      <c r="H57" s="82"/>
      <c r="I57" s="82"/>
      <c r="J57" s="82"/>
      <c r="K57" s="82"/>
    </row>
    <row r="58" spans="1:11" x14ac:dyDescent="0.2">
      <c r="A58" s="1" t="s">
        <v>21</v>
      </c>
      <c r="B58" s="119">
        <v>3000</v>
      </c>
      <c r="C58" s="47">
        <f t="shared" si="29"/>
        <v>12</v>
      </c>
      <c r="D58" s="47">
        <f t="shared" si="30"/>
        <v>1</v>
      </c>
      <c r="E58" s="82"/>
      <c r="F58" s="82"/>
      <c r="G58" s="82"/>
      <c r="H58" s="82"/>
      <c r="I58" s="82"/>
      <c r="J58" s="82"/>
      <c r="K58" s="82"/>
    </row>
    <row r="59" spans="1:11" x14ac:dyDescent="0.2">
      <c r="A59" s="1" t="s">
        <v>153</v>
      </c>
      <c r="B59" s="119">
        <v>1600</v>
      </c>
      <c r="C59" s="47">
        <f t="shared" si="29"/>
        <v>6.4</v>
      </c>
      <c r="D59" s="47">
        <f t="shared" si="30"/>
        <v>0.53333333333333333</v>
      </c>
      <c r="E59" s="82"/>
      <c r="F59" s="82"/>
      <c r="G59" s="82"/>
      <c r="H59" s="82"/>
      <c r="I59" s="82"/>
      <c r="J59" s="82"/>
      <c r="K59" s="82"/>
    </row>
    <row r="60" spans="1:11" x14ac:dyDescent="0.2">
      <c r="A60" s="1" t="s">
        <v>154</v>
      </c>
      <c r="B60" s="119">
        <v>2000</v>
      </c>
      <c r="C60" s="47">
        <f t="shared" si="29"/>
        <v>8</v>
      </c>
      <c r="D60" s="47">
        <f t="shared" si="30"/>
        <v>0.66666666666666663</v>
      </c>
      <c r="E60" s="82"/>
      <c r="F60" s="82"/>
      <c r="G60" s="82"/>
      <c r="H60" s="82"/>
      <c r="I60" s="82"/>
      <c r="J60" s="82"/>
      <c r="K60" s="82"/>
    </row>
    <row r="61" spans="1:11" ht="15" thickBot="1" x14ac:dyDescent="0.25">
      <c r="A61" s="40" t="s">
        <v>38</v>
      </c>
      <c r="B61" s="120">
        <v>1800</v>
      </c>
      <c r="C61" s="121">
        <f t="shared" si="29"/>
        <v>7.2</v>
      </c>
      <c r="D61" s="121">
        <f t="shared" si="30"/>
        <v>0.6</v>
      </c>
      <c r="E61" s="82"/>
      <c r="F61" s="82"/>
      <c r="G61" s="82"/>
      <c r="H61" s="82"/>
      <c r="I61" s="82"/>
      <c r="J61" s="82"/>
      <c r="K61" s="82"/>
    </row>
    <row r="62" spans="1:11" ht="15" thickBot="1" x14ac:dyDescent="0.25">
      <c r="A62" s="122" t="s">
        <v>158</v>
      </c>
      <c r="B62" s="123">
        <f>SUM(B40:B61)</f>
        <v>114250</v>
      </c>
      <c r="C62" s="109">
        <f>SUM(C40:C61)</f>
        <v>457</v>
      </c>
      <c r="D62" s="110">
        <f>SUM(D40:D61)</f>
        <v>38.083333333333336</v>
      </c>
      <c r="E62" s="137"/>
      <c r="F62" s="137"/>
      <c r="G62" s="137"/>
      <c r="H62" s="137"/>
      <c r="I62" s="137"/>
      <c r="J62" s="137"/>
      <c r="K62" s="13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W33:Y33 C33:F33 M33:P33 H33:I33 Q33:T33 AB33:AE33 U33 K33" formulaRange="1"/>
    <ignoredError sqref="AH33:AJ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tabSelected="1" topLeftCell="B1" zoomScale="110" zoomScaleNormal="110" workbookViewId="0">
      <selection activeCell="L22" sqref="L2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5"/>
  <sheetViews>
    <sheetView topLeftCell="B1" workbookViewId="0">
      <selection activeCell="H13" sqref="H13"/>
    </sheetView>
  </sheetViews>
  <sheetFormatPr defaultRowHeight="14.25" x14ac:dyDescent="0.2"/>
  <cols>
    <col min="1" max="1" width="25.25" customWidth="1"/>
    <col min="2" max="2" width="9.5" customWidth="1"/>
    <col min="3" max="3" width="10.375" customWidth="1"/>
    <col min="5" max="5" width="11.75" customWidth="1"/>
  </cols>
  <sheetData>
    <row r="1" spans="1:16" ht="15" thickBot="1" x14ac:dyDescent="0.25">
      <c r="A1" s="2" t="str">
        <f>'Award Type &amp; Geo Distribution'!A1</f>
        <v>Awards - Actual figures</v>
      </c>
    </row>
    <row r="2" spans="1:16" x14ac:dyDescent="0.2">
      <c r="A2" s="83" t="str">
        <f>'Award Type &amp; Geo Distribution'!A2</f>
        <v xml:space="preserve">Award Type </v>
      </c>
      <c r="B2" s="84">
        <v>43191</v>
      </c>
      <c r="C2" s="84">
        <v>43221</v>
      </c>
      <c r="D2" s="84">
        <v>43252</v>
      </c>
      <c r="E2" s="84">
        <v>43282</v>
      </c>
      <c r="F2" s="84">
        <v>43313</v>
      </c>
      <c r="G2" s="84">
        <v>43344</v>
      </c>
      <c r="H2" s="84">
        <v>43374</v>
      </c>
      <c r="I2" s="84">
        <v>43405</v>
      </c>
      <c r="J2" s="84">
        <v>43435</v>
      </c>
      <c r="K2" s="84">
        <v>43466</v>
      </c>
      <c r="L2" s="84">
        <v>43497</v>
      </c>
      <c r="M2" s="84">
        <v>43525</v>
      </c>
    </row>
    <row r="3" spans="1:16" x14ac:dyDescent="0.2">
      <c r="A3" s="41" t="str">
        <f>'Award Type &amp; Geo Distribution'!A3</f>
        <v>Green Goods</v>
      </c>
      <c r="B3" s="1">
        <f>'Award Type &amp; Geo Distribution'!C3</f>
        <v>32</v>
      </c>
      <c r="C3" s="1">
        <f>'Award Type &amp; Geo Distribution'!D3</f>
        <v>35</v>
      </c>
      <c r="D3" s="1">
        <f>'Award Type &amp; Geo Distribution'!E3</f>
        <v>37</v>
      </c>
      <c r="E3" s="1">
        <f>'Award Type &amp; Geo Distribution'!G3</f>
        <v>0</v>
      </c>
      <c r="F3" s="1">
        <f>'Award Type &amp; Geo Distribution'!H3</f>
        <v>0</v>
      </c>
      <c r="G3" s="1">
        <f>'Award Type &amp; Geo Distribution'!I3</f>
        <v>0</v>
      </c>
      <c r="H3" s="1">
        <f>'Award Type &amp; Geo Distribution'!K3</f>
        <v>0</v>
      </c>
      <c r="I3" s="1">
        <f>'Award Type &amp; Geo Distribution'!L3</f>
        <v>0</v>
      </c>
      <c r="J3" s="1">
        <f>'Award Type &amp; Geo Distribution'!M3</f>
        <v>0</v>
      </c>
      <c r="K3" s="1">
        <f>'Award Type &amp; Geo Distribution'!O3</f>
        <v>0</v>
      </c>
      <c r="L3" s="1">
        <f>'Award Type &amp; Geo Distribution'!P3</f>
        <v>0</v>
      </c>
      <c r="M3" s="1">
        <f>'Award Type &amp; Geo Distribution'!Q3</f>
        <v>0</v>
      </c>
    </row>
    <row r="4" spans="1:16" x14ac:dyDescent="0.2">
      <c r="A4" s="41" t="str">
        <f>'Award Type &amp; Geo Distribution'!A4</f>
        <v>White Goods</v>
      </c>
      <c r="B4" s="1">
        <f>'Award Type &amp; Geo Distribution'!C4</f>
        <v>11</v>
      </c>
      <c r="C4" s="1">
        <f>'Award Type &amp; Geo Distribution'!D4</f>
        <v>14</v>
      </c>
      <c r="D4" s="1">
        <f>'Award Type &amp; Geo Distribution'!E4</f>
        <v>6</v>
      </c>
      <c r="E4" s="1">
        <f>'Award Type &amp; Geo Distribution'!G4</f>
        <v>0</v>
      </c>
      <c r="F4" s="1">
        <f>'Award Type &amp; Geo Distribution'!H4</f>
        <v>0</v>
      </c>
      <c r="G4" s="1">
        <f>'Award Type &amp; Geo Distribution'!I4</f>
        <v>0</v>
      </c>
      <c r="H4" s="1">
        <f>'Award Type &amp; Geo Distribution'!K4</f>
        <v>0</v>
      </c>
      <c r="I4" s="1">
        <f>'Award Type &amp; Geo Distribution'!L4</f>
        <v>0</v>
      </c>
      <c r="J4" s="1">
        <f>'Award Type &amp; Geo Distribution'!M4</f>
        <v>0</v>
      </c>
      <c r="K4" s="1">
        <f>'Award Type &amp; Geo Distribution'!O4</f>
        <v>0</v>
      </c>
      <c r="L4" s="1">
        <f>'Award Type &amp; Geo Distribution'!P4</f>
        <v>0</v>
      </c>
      <c r="M4" s="1">
        <f>'Award Type &amp; Geo Distribution'!Q4</f>
        <v>0</v>
      </c>
    </row>
    <row r="5" spans="1:16" ht="15" thickBot="1" x14ac:dyDescent="0.25">
      <c r="A5" s="41" t="str">
        <f>'Award Type &amp; Geo Distribution'!A5</f>
        <v>Supermarket vouchers</v>
      </c>
      <c r="B5" s="1">
        <f>'Award Type &amp; Geo Distribution'!C5</f>
        <v>17</v>
      </c>
      <c r="C5" s="1">
        <f>'Award Type &amp; Geo Distribution'!D5</f>
        <v>18</v>
      </c>
      <c r="D5" s="1">
        <f>'Award Type &amp; Geo Distribution'!E5</f>
        <v>14</v>
      </c>
      <c r="E5" s="1">
        <f>'Award Type &amp; Geo Distribution'!G5</f>
        <v>0</v>
      </c>
      <c r="F5" s="1">
        <f>'Award Type &amp; Geo Distribution'!H5</f>
        <v>0</v>
      </c>
      <c r="G5" s="1">
        <f>'Award Type &amp; Geo Distribution'!I5</f>
        <v>0</v>
      </c>
      <c r="H5" s="1">
        <f>'Award Type &amp; Geo Distribution'!K5</f>
        <v>0</v>
      </c>
      <c r="I5" s="1">
        <f>'Award Type &amp; Geo Distribution'!L5</f>
        <v>0</v>
      </c>
      <c r="J5" s="1">
        <f>'Award Type &amp; Geo Distribution'!M5</f>
        <v>0</v>
      </c>
      <c r="K5" s="1">
        <f>'Award Type &amp; Geo Distribution'!O5</f>
        <v>0</v>
      </c>
      <c r="L5" s="1">
        <f>'Award Type &amp; Geo Distribution'!P5</f>
        <v>0</v>
      </c>
      <c r="M5" s="1">
        <f>'Award Type &amp; Geo Distribution'!Q5</f>
        <v>0</v>
      </c>
    </row>
    <row r="6" spans="1:16" ht="15" thickBot="1" x14ac:dyDescent="0.25">
      <c r="A6" s="43" t="s">
        <v>135</v>
      </c>
      <c r="B6" s="1">
        <v>41</v>
      </c>
      <c r="C6" s="1">
        <v>41</v>
      </c>
      <c r="D6" s="1">
        <v>41</v>
      </c>
      <c r="E6" s="1">
        <v>41</v>
      </c>
      <c r="F6" s="1">
        <v>41</v>
      </c>
      <c r="G6" s="1">
        <v>41</v>
      </c>
      <c r="H6" s="1">
        <v>41</v>
      </c>
      <c r="I6" s="1">
        <v>41</v>
      </c>
      <c r="J6" s="1">
        <v>41</v>
      </c>
      <c r="K6" s="1">
        <v>41</v>
      </c>
      <c r="L6" s="1">
        <v>41</v>
      </c>
      <c r="M6" s="1">
        <v>41</v>
      </c>
    </row>
    <row r="7" spans="1:16" ht="15" thickBot="1" x14ac:dyDescent="0.25">
      <c r="A7" s="44" t="s">
        <v>134</v>
      </c>
      <c r="B7" s="45">
        <f>'Award Type &amp; Geo Distribution'!C6</f>
        <v>60</v>
      </c>
      <c r="C7" s="45">
        <f>'Award Type &amp; Geo Distribution'!D6</f>
        <v>67</v>
      </c>
      <c r="D7" s="46">
        <f>'Award Type &amp; Geo Distribution'!E6</f>
        <v>57</v>
      </c>
      <c r="E7" s="46">
        <f>'Award Type &amp; Geo Distribution'!G6</f>
        <v>0</v>
      </c>
      <c r="F7" s="46">
        <f>'Award Type &amp; Geo Distribution'!H6</f>
        <v>0</v>
      </c>
      <c r="G7" s="46">
        <f>'Award Type &amp; Geo Distribution'!I6</f>
        <v>0</v>
      </c>
      <c r="H7" s="46">
        <f>'Award Type &amp; Geo Distribution'!K6</f>
        <v>0</v>
      </c>
      <c r="I7" s="46">
        <f>'Award Type &amp; Geo Distribution'!L6</f>
        <v>0</v>
      </c>
      <c r="J7" s="46">
        <f>'Award Type &amp; Geo Distribution'!M6</f>
        <v>0</v>
      </c>
      <c r="K7" s="46">
        <f>'Award Type &amp; Geo Distribution'!O6</f>
        <v>0</v>
      </c>
      <c r="L7" s="46">
        <f>'Award Type &amp; Geo Distribution'!P6</f>
        <v>0</v>
      </c>
      <c r="M7" s="46">
        <f>'Award Type &amp; Geo Distribution'!Q6</f>
        <v>0</v>
      </c>
    </row>
    <row r="8" spans="1:16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x14ac:dyDescent="0.2">
      <c r="A9" s="57" t="str">
        <f>'Award Type &amp; Geo Distribution'!A11</f>
        <v>Awards - Assumptions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5.75" x14ac:dyDescent="0.25">
      <c r="A10" s="51" t="str">
        <f>'Award Type &amp; Geo Distribution'!A12</f>
        <v>Awards per type of award</v>
      </c>
    </row>
    <row r="11" spans="1:16" ht="15" thickBot="1" x14ac:dyDescent="0.25">
      <c r="A11" t="str">
        <f>'Award Type &amp; Geo Distribution'!A13</f>
        <v>545 awards - maximum £250 per awards = total of £136254 for all awards</v>
      </c>
    </row>
    <row r="12" spans="1:16" ht="42.75" x14ac:dyDescent="0.2">
      <c r="A12" s="74" t="str">
        <f>'Award Type &amp; Geo Distribution'!A14</f>
        <v>Type of awards</v>
      </c>
      <c r="B12" s="74" t="str">
        <f>'Award Type &amp; Geo Distribution'!C14</f>
        <v>% of total budget</v>
      </c>
      <c r="C12" s="74" t="str">
        <f>'Award Type &amp; Geo Distribution'!D14</f>
        <v>Amount</v>
      </c>
      <c r="D12" s="74" t="str">
        <f>'Award Type &amp; Geo Distribution'!E14</f>
        <v>Awards annual target</v>
      </c>
      <c r="E12" s="76" t="str">
        <f>'Award Type &amp; Geo Distribution'!F14</f>
        <v>Awards qtr target</v>
      </c>
      <c r="F12" s="75">
        <f>'Award Type &amp; Geo Distribution'!G14</f>
        <v>0</v>
      </c>
    </row>
    <row r="13" spans="1:16" x14ac:dyDescent="0.2">
      <c r="A13" s="41" t="e">
        <f>'Award Type &amp; Geo Distribution'!#REF!</f>
        <v>#REF!</v>
      </c>
      <c r="B13" s="52" t="e">
        <f>'Award Type &amp; Geo Distribution'!#REF!</f>
        <v>#REF!</v>
      </c>
      <c r="C13" s="52" t="e">
        <f>'Award Type &amp; Geo Distribution'!#REF!</f>
        <v>#REF!</v>
      </c>
      <c r="D13" s="1" t="e">
        <f>'Award Type &amp; Geo Distribution'!#REF!</f>
        <v>#REF!</v>
      </c>
      <c r="E13" s="77" t="e">
        <f>'Award Type &amp; Geo Distribution'!#REF!</f>
        <v>#REF!</v>
      </c>
      <c r="F13" s="42" t="e">
        <f>'Award Type &amp; Geo Distribution'!#REF!</f>
        <v>#REF!</v>
      </c>
    </row>
    <row r="14" spans="1:16" ht="28.5" x14ac:dyDescent="0.2">
      <c r="A14" s="58" t="str">
        <f>'Award Type &amp; Geo Distribution'!A15</f>
        <v>New Goods - All cookers &amp; some mattresses</v>
      </c>
      <c r="B14" s="53">
        <f>'Award Type &amp; Geo Distribution'!C15</f>
        <v>0.15</v>
      </c>
      <c r="C14" s="54">
        <f>'Award Type &amp; Geo Distribution'!D15</f>
        <v>20438.099999999999</v>
      </c>
      <c r="D14" s="56">
        <f>'Award Type &amp; Geo Distribution'!E15</f>
        <v>81.752399999999994</v>
      </c>
      <c r="E14" s="78">
        <f>'Award Type &amp; Geo Distribution'!F15</f>
        <v>5109.5249999999996</v>
      </c>
      <c r="F14" s="59">
        <f>'Award Type &amp; Geo Distribution'!G15</f>
        <v>0</v>
      </c>
    </row>
    <row r="15" spans="1:16" ht="28.5" x14ac:dyDescent="0.2">
      <c r="A15" s="58" t="str">
        <f>'Award Type &amp; Geo Distribution'!A16</f>
        <v xml:space="preserve">Green goods - recycled white goods &amp; furniture </v>
      </c>
      <c r="B15" s="53">
        <f>'Award Type &amp; Geo Distribution'!C16</f>
        <v>0.65</v>
      </c>
      <c r="C15" s="54">
        <f>'Award Type &amp; Geo Distribution'!D16</f>
        <v>88565.1</v>
      </c>
      <c r="D15" s="56">
        <f>'Award Type &amp; Geo Distribution'!E16</f>
        <v>354.2604</v>
      </c>
      <c r="E15" s="78">
        <f>'Award Type &amp; Geo Distribution'!F16</f>
        <v>22141.275000000001</v>
      </c>
      <c r="F15" s="59">
        <f>'Award Type &amp; Geo Distribution'!G16</f>
        <v>0</v>
      </c>
    </row>
    <row r="16" spans="1:16" x14ac:dyDescent="0.2">
      <c r="A16" s="58" t="str">
        <f>'Award Type &amp; Geo Distribution'!A17</f>
        <v>Recycled paints</v>
      </c>
      <c r="B16" s="55">
        <f>'Award Type &amp; Geo Distribution'!C17</f>
        <v>0.02</v>
      </c>
      <c r="C16" s="54">
        <f>'Award Type &amp; Geo Distribution'!D17</f>
        <v>2725.08</v>
      </c>
      <c r="D16" s="56">
        <f>'Award Type &amp; Geo Distribution'!E17</f>
        <v>10.900319999999999</v>
      </c>
      <c r="E16" s="78">
        <f>'Award Type &amp; Geo Distribution'!F17</f>
        <v>681.27</v>
      </c>
      <c r="F16" s="59">
        <f>'Award Type &amp; Geo Distribution'!G17</f>
        <v>0</v>
      </c>
    </row>
    <row r="17" spans="1:16" ht="29.25" thickBot="1" x14ac:dyDescent="0.25">
      <c r="A17" s="60" t="str">
        <f>'Award Type &amp; Geo Distribution'!A18</f>
        <v>Supermarket vouchers (food &amp; clothing)</v>
      </c>
      <c r="B17" s="61">
        <f>'Award Type &amp; Geo Distribution'!C18</f>
        <v>0.18</v>
      </c>
      <c r="C17" s="62">
        <f>'Award Type &amp; Geo Distribution'!D18</f>
        <v>24525.719999999998</v>
      </c>
      <c r="D17" s="63">
        <f>'Award Type &amp; Geo Distribution'!E18</f>
        <v>98.102879999999985</v>
      </c>
      <c r="E17" s="79">
        <f>'Award Type &amp; Geo Distribution'!F18</f>
        <v>6131.4299999999994</v>
      </c>
      <c r="F17" s="64">
        <f>'Award Type &amp; Geo Distribution'!G18</f>
        <v>0</v>
      </c>
    </row>
    <row r="18" spans="1:16" ht="15.75" thickBot="1" x14ac:dyDescent="0.3">
      <c r="A18" s="65" t="str">
        <f>'Award Type &amp; Geo Distribution'!A19</f>
        <v>Total CLAS budget for awards</v>
      </c>
      <c r="B18" s="66">
        <f>'Award Type &amp; Geo Distribution'!C19</f>
        <v>1</v>
      </c>
      <c r="C18" s="67">
        <f>'Award Type &amp; Geo Distribution'!D19</f>
        <v>136254</v>
      </c>
      <c r="D18" s="68">
        <f>'Award Type &amp; Geo Distribution'!E19</f>
        <v>545.01599999999996</v>
      </c>
      <c r="E18" s="80">
        <f>'Award Type &amp; Geo Distribution'!F19</f>
        <v>34063.5</v>
      </c>
      <c r="F18" s="69">
        <f>'Award Type &amp; Geo Distribution'!G19</f>
        <v>0</v>
      </c>
    </row>
    <row r="19" spans="1:1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x14ac:dyDescent="0.2">
      <c r="A21" s="39" t="str">
        <f>'Award Type &amp; Geo Distribution'!A23</f>
        <v>Geographical Distribution</v>
      </c>
      <c r="B21" s="39" t="str">
        <f>'Award Type &amp; Geo Distribution'!B23</f>
        <v>totals so far</v>
      </c>
      <c r="C21" s="39" t="str">
        <f>'Award Type &amp; Geo Distribution'!D33</f>
        <v xml:space="preserve">Awards - Annual target 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">
      <c r="A22" s="39" t="str">
        <f>'Award Type &amp; Geo Distribution'!A24</f>
        <v>Cambridge City</v>
      </c>
      <c r="B22" s="39">
        <f>'Award Type &amp; Geo Distribution'!B24</f>
        <v>54</v>
      </c>
      <c r="C22" s="82">
        <f>'Award Type &amp; Geo Distribution'!D34</f>
        <v>125.35368000000001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x14ac:dyDescent="0.2">
      <c r="A23" s="39" t="str">
        <f>'Award Type &amp; Geo Distribution'!A25</f>
        <v>South Cambs</v>
      </c>
      <c r="B23" s="39">
        <f>'Award Type &amp; Geo Distribution'!B25</f>
        <v>23</v>
      </c>
      <c r="C23" s="82">
        <f>'Award Type &amp; Geo Distribution'!D35</f>
        <v>76.302240000000012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39" t="str">
        <f>'Award Type &amp; Geo Distribution'!A26</f>
        <v>Fenland</v>
      </c>
      <c r="B24" s="39">
        <f>'Award Type &amp; Geo Distribution'!B26</f>
        <v>53</v>
      </c>
      <c r="C24" s="82">
        <f>'Award Type &amp; Geo Distribution'!D36</f>
        <v>136.25399999999999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A25" s="39" t="str">
        <f>'Award Type &amp; Geo Distribution'!A27</f>
        <v>East Cambs</v>
      </c>
      <c r="B25" s="39">
        <f>'Award Type &amp; Geo Distribution'!B27</f>
        <v>24</v>
      </c>
      <c r="C25" s="82">
        <f>'Award Type &amp; Geo Distribution'!D37</f>
        <v>70.852080000000001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2">
      <c r="A26" s="39" t="str">
        <f>'Award Type &amp; Geo Distribution'!A28</f>
        <v>Hunts</v>
      </c>
      <c r="B26" s="39">
        <f>'Award Type &amp; Geo Distribution'!B28</f>
        <v>18</v>
      </c>
      <c r="C26" s="82">
        <f>'Award Type &amp; Geo Distribution'!D38</f>
        <v>136.25399999999999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">
      <c r="A27" s="39" t="str">
        <f>'Award Type &amp; Geo Distribution'!A30</f>
        <v xml:space="preserve">Total </v>
      </c>
      <c r="B27" s="39">
        <f>'Award Type &amp; Geo Distribution'!B30</f>
        <v>172</v>
      </c>
      <c r="C27" s="82">
        <f>'Award Type &amp; Geo Distribution'!D39</f>
        <v>545.01600000000008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64"/>
  <sheetViews>
    <sheetView topLeftCell="A39" workbookViewId="0">
      <selection activeCell="J68" sqref="J68"/>
    </sheetView>
  </sheetViews>
  <sheetFormatPr defaultRowHeight="14.25" x14ac:dyDescent="0.2"/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spans="2:16" hidden="1" x14ac:dyDescent="0.2"/>
    <row r="34" spans="2:16" hidden="1" x14ac:dyDescent="0.2">
      <c r="P34">
        <f>492/22</f>
        <v>22.363636363636363</v>
      </c>
    </row>
    <row r="35" spans="2:16" hidden="1" x14ac:dyDescent="0.2"/>
    <row r="36" spans="2:16" hidden="1" x14ac:dyDescent="0.2"/>
    <row r="37" spans="2:16" hidden="1" x14ac:dyDescent="0.2"/>
    <row r="38" spans="2:16" hidden="1" x14ac:dyDescent="0.2">
      <c r="B38" s="230">
        <v>22</v>
      </c>
      <c r="C38" s="230">
        <v>25</v>
      </c>
      <c r="D38" s="230">
        <v>57</v>
      </c>
      <c r="E38" s="230">
        <v>65</v>
      </c>
      <c r="F38" s="230">
        <v>65</v>
      </c>
      <c r="G38" s="230">
        <v>37</v>
      </c>
    </row>
    <row r="62" spans="5:9" x14ac:dyDescent="0.2">
      <c r="E62" s="88"/>
      <c r="H62" s="88"/>
      <c r="I62" s="88">
        <f>18/136</f>
        <v>0.13235294117647059</v>
      </c>
    </row>
    <row r="63" spans="5:9" x14ac:dyDescent="0.2">
      <c r="E63" s="88"/>
      <c r="H63" s="88"/>
    </row>
    <row r="64" spans="5:9" x14ac:dyDescent="0.2">
      <c r="E64" s="88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2"/>
  <sheetViews>
    <sheetView topLeftCell="A19" workbookViewId="0">
      <selection activeCell="E21" sqref="E21"/>
    </sheetView>
  </sheetViews>
  <sheetFormatPr defaultRowHeight="14.25" x14ac:dyDescent="0.2"/>
  <cols>
    <col min="1" max="1" width="15.75" customWidth="1"/>
    <col min="2" max="2" width="16.875" bestFit="1" customWidth="1"/>
    <col min="3" max="3" width="16.125" bestFit="1" customWidth="1"/>
    <col min="4" max="4" width="10.375" bestFit="1" customWidth="1"/>
    <col min="6" max="6" width="12" customWidth="1"/>
    <col min="7" max="7" width="10.75" customWidth="1"/>
    <col min="8" max="8" width="10.875" customWidth="1"/>
  </cols>
  <sheetData>
    <row r="12" spans="1:3" x14ac:dyDescent="0.2">
      <c r="A12" s="2" t="s">
        <v>227</v>
      </c>
    </row>
    <row r="13" spans="1:3" ht="15" thickBot="1" x14ac:dyDescent="0.25"/>
    <row r="14" spans="1:3" ht="15.75" thickBot="1" x14ac:dyDescent="0.25">
      <c r="A14" s="333" t="s">
        <v>226</v>
      </c>
      <c r="B14" s="334" t="s">
        <v>214</v>
      </c>
      <c r="C14" s="334" t="s">
        <v>215</v>
      </c>
    </row>
    <row r="15" spans="1:3" ht="15.75" thickBot="1" x14ac:dyDescent="0.25">
      <c r="A15" s="335" t="s">
        <v>219</v>
      </c>
      <c r="B15" s="336">
        <v>148</v>
      </c>
      <c r="C15" s="339">
        <v>14259</v>
      </c>
    </row>
    <row r="16" spans="1:3" ht="15.75" thickBot="1" x14ac:dyDescent="0.25">
      <c r="A16" s="335" t="s">
        <v>225</v>
      </c>
      <c r="B16" s="336">
        <v>148</v>
      </c>
      <c r="C16" s="339">
        <v>16216</v>
      </c>
    </row>
    <row r="17" spans="1:9" ht="15.75" thickBot="1" x14ac:dyDescent="0.25">
      <c r="A17" s="335" t="s">
        <v>216</v>
      </c>
      <c r="B17" s="336">
        <v>111</v>
      </c>
      <c r="C17" s="339">
        <v>7831.5</v>
      </c>
    </row>
    <row r="18" spans="1:9" ht="15.75" thickBot="1" x14ac:dyDescent="0.25">
      <c r="A18" s="335" t="s">
        <v>217</v>
      </c>
      <c r="B18" s="336">
        <v>104</v>
      </c>
      <c r="C18" s="339">
        <v>14404</v>
      </c>
    </row>
    <row r="19" spans="1:9" ht="15.75" thickBot="1" x14ac:dyDescent="0.25">
      <c r="A19" s="335" t="s">
        <v>223</v>
      </c>
      <c r="B19" s="336">
        <v>64</v>
      </c>
      <c r="C19" s="339">
        <v>3444</v>
      </c>
    </row>
    <row r="20" spans="1:9" ht="15.75" thickBot="1" x14ac:dyDescent="0.25">
      <c r="A20" s="335" t="s">
        <v>224</v>
      </c>
      <c r="B20" s="336">
        <v>31</v>
      </c>
      <c r="C20" s="339">
        <v>1390</v>
      </c>
    </row>
    <row r="21" spans="1:9" ht="15.75" thickBot="1" x14ac:dyDescent="0.25">
      <c r="A21" s="335" t="s">
        <v>220</v>
      </c>
      <c r="B21" s="336">
        <v>30</v>
      </c>
      <c r="C21" s="339">
        <v>1560</v>
      </c>
    </row>
    <row r="22" spans="1:9" ht="15.75" thickBot="1" x14ac:dyDescent="0.25">
      <c r="A22" s="335" t="s">
        <v>221</v>
      </c>
      <c r="B22" s="336">
        <v>27</v>
      </c>
      <c r="C22" s="339">
        <v>1272.99</v>
      </c>
    </row>
    <row r="23" spans="1:9" ht="15.75" thickBot="1" x14ac:dyDescent="0.25">
      <c r="A23" s="335" t="s">
        <v>222</v>
      </c>
      <c r="B23" s="336">
        <v>498</v>
      </c>
      <c r="C23" s="339">
        <v>9145.51</v>
      </c>
      <c r="D23" s="323"/>
    </row>
    <row r="24" spans="1:9" ht="15.75" thickBot="1" x14ac:dyDescent="0.25">
      <c r="A24" s="335" t="s">
        <v>218</v>
      </c>
      <c r="B24" s="336">
        <v>324</v>
      </c>
      <c r="C24" s="339">
        <v>4253</v>
      </c>
    </row>
    <row r="25" spans="1:9" ht="15.75" thickBot="1" x14ac:dyDescent="0.25">
      <c r="A25" s="337" t="s">
        <v>92</v>
      </c>
      <c r="B25" s="338">
        <f>SUM(B15:B24)</f>
        <v>1485</v>
      </c>
      <c r="C25" s="340">
        <f>SUM(C15:C24)</f>
        <v>73776</v>
      </c>
    </row>
    <row r="26" spans="1:9" ht="15.75" thickBot="1" x14ac:dyDescent="0.25">
      <c r="A26" s="342" t="s">
        <v>228</v>
      </c>
      <c r="B26" s="343">
        <v>10</v>
      </c>
      <c r="C26" s="341">
        <v>730</v>
      </c>
    </row>
    <row r="27" spans="1:9" ht="15.75" thickBot="1" x14ac:dyDescent="0.25">
      <c r="A27" s="333" t="s">
        <v>229</v>
      </c>
      <c r="B27" s="333">
        <f>B25+B26</f>
        <v>1495</v>
      </c>
      <c r="C27" s="344">
        <f>C25+C26</f>
        <v>74506</v>
      </c>
    </row>
    <row r="29" spans="1:9" ht="15" thickBot="1" x14ac:dyDescent="0.25"/>
    <row r="30" spans="1:9" ht="36" customHeight="1" thickBot="1" x14ac:dyDescent="0.25">
      <c r="E30" s="333"/>
      <c r="F30" s="333" t="s">
        <v>40</v>
      </c>
      <c r="G30" s="333" t="s">
        <v>230</v>
      </c>
      <c r="H30" s="333" t="s">
        <v>90</v>
      </c>
      <c r="I30" s="333" t="s">
        <v>231</v>
      </c>
    </row>
    <row r="31" spans="1:9" ht="15.75" thickBot="1" x14ac:dyDescent="0.25">
      <c r="E31" s="345" t="s">
        <v>232</v>
      </c>
      <c r="F31" s="346">
        <v>395</v>
      </c>
      <c r="G31" s="346">
        <v>90</v>
      </c>
      <c r="H31" s="346">
        <v>218</v>
      </c>
      <c r="I31" s="347">
        <v>703</v>
      </c>
    </row>
    <row r="32" spans="1:9" ht="15.75" thickBot="1" x14ac:dyDescent="0.25">
      <c r="E32" s="345" t="s">
        <v>233</v>
      </c>
      <c r="F32" s="348">
        <v>74506</v>
      </c>
      <c r="G32" s="348">
        <v>24900</v>
      </c>
      <c r="H32" s="348">
        <v>26165</v>
      </c>
      <c r="I32" s="349">
        <v>125571</v>
      </c>
    </row>
  </sheetData>
  <autoFilter ref="B12:B3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Total Awards</vt:lpstr>
      <vt:lpstr>Monthly CLAS Awards</vt:lpstr>
      <vt:lpstr>Award Type &amp; Geo Distribution</vt:lpstr>
      <vt:lpstr>Champions award split</vt:lpstr>
      <vt:lpstr>Chart for Awards</vt:lpstr>
      <vt:lpstr>for charts</vt:lpstr>
      <vt:lpstr>Chart for Geo Distribution</vt:lpstr>
      <vt:lpstr>Sheet3</vt:lpstr>
      <vt:lpstr>'Award Type &amp; Geo Distribution'!Print_Area</vt:lpstr>
      <vt:lpstr>'Champions award split'!Print_Area</vt:lpstr>
      <vt:lpstr>'Chart for Geo Distribution'!Print_Area</vt:lpstr>
      <vt:lpstr>'for charts'!Print_Area</vt:lpstr>
      <vt:lpstr>'Monthly CLAS Awards'!Print_Area</vt:lpstr>
      <vt:lpstr>'Total Awards'!Print_Area</vt:lpstr>
    </vt:vector>
  </TitlesOfParts>
  <Company>CHS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Cano</dc:creator>
  <cp:lastModifiedBy>Sue Reynolds</cp:lastModifiedBy>
  <cp:lastPrinted>2018-07-16T17:05:26Z</cp:lastPrinted>
  <dcterms:created xsi:type="dcterms:W3CDTF">2017-04-26T08:01:17Z</dcterms:created>
  <dcterms:modified xsi:type="dcterms:W3CDTF">2018-07-28T15:39:05Z</dcterms:modified>
</cp:coreProperties>
</file>