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CCCAUSER01\UsersLocal\gr423\Desktop\"/>
    </mc:Choice>
  </mc:AlternateContent>
  <bookViews>
    <workbookView showSheetTabs="0" xWindow="0" yWindow="0" windowWidth="28800" windowHeight="11472" tabRatio="921"/>
  </bookViews>
  <sheets>
    <sheet name="Data by district" sheetId="18" r:id="rId1"/>
    <sheet name="Data by topic" sheetId="40" r:id="rId2"/>
    <sheet name="About Us" sheetId="38" r:id="rId3"/>
    <sheet name="Profile sheet" sheetId="33" r:id="rId4"/>
    <sheet name="Districts" sheetId="39" r:id="rId5"/>
    <sheet name="iadatasheet_population" sheetId="22" r:id="rId6"/>
    <sheet name="iadatasheet_household type" sheetId="26" r:id="rId7"/>
    <sheet name="iadatasheet_ethnicity" sheetId="23" r:id="rId8"/>
    <sheet name="iadatasheet_religion" sheetId="29" r:id="rId9"/>
    <sheet name="iadatasheet_qualifications" sheetId="36" r:id="rId10"/>
    <sheet name="iadatasheet_health" sheetId="24" r:id="rId11"/>
    <sheet name="iadatasheet_country of birth" sheetId="31" r:id="rId12"/>
    <sheet name="iadatasheet_dwelling type" sheetId="25" r:id="rId13"/>
    <sheet name="iadatasheet_economic activity" sheetId="27" r:id="rId14"/>
    <sheet name="iadatasheet_travel to work" sheetId="35" r:id="rId15"/>
    <sheet name="iadatasheet_passports held" sheetId="28" r:id="rId16"/>
    <sheet name="iadatasheet_length of residence" sheetId="30" r:id="rId17"/>
    <sheet name="Metadata" sheetId="12" r:id="rId18"/>
  </sheets>
  <externalReferences>
    <externalReference r:id="rId19"/>
  </externalReferences>
  <definedNames>
    <definedName name="Alias">#REF!</definedName>
    <definedName name="all">#REF!</definedName>
    <definedName name="AreaSelection">#REF!</definedName>
    <definedName name="BaseFile">#REF!</definedName>
    <definedName name="CommandLine" localSheetId="11">#REF!</definedName>
    <definedName name="CommandLine" localSheetId="12">#REF!</definedName>
    <definedName name="CommandLine" localSheetId="13">#REF!</definedName>
    <definedName name="CommandLine" localSheetId="7">#REF!</definedName>
    <definedName name="CommandLine" localSheetId="10">#REF!</definedName>
    <definedName name="CommandLine" localSheetId="6">#REF!</definedName>
    <definedName name="CommandLine" localSheetId="16">#REF!</definedName>
    <definedName name="CommandLine" localSheetId="15">#REF!</definedName>
    <definedName name="CommandLine" localSheetId="5">#REF!</definedName>
    <definedName name="CommandLine" localSheetId="8">#REF!</definedName>
    <definedName name="CommandLine">#REF!</definedName>
    <definedName name="community">#REF!</definedName>
    <definedName name="ConfigFile">#REF!</definedName>
    <definedName name="ContextualClip">#REF!</definedName>
    <definedName name="ContextualFiles">#REF!</definedName>
    <definedName name="Data">#REF!</definedName>
    <definedName name="Debug" localSheetId="11">#REF!</definedName>
    <definedName name="Debug" localSheetId="12">#REF!</definedName>
    <definedName name="Debug" localSheetId="13">#REF!</definedName>
    <definedName name="Debug" localSheetId="7">#REF!</definedName>
    <definedName name="Debug" localSheetId="10">#REF!</definedName>
    <definedName name="Debug" localSheetId="6">#REF!</definedName>
    <definedName name="Debug" localSheetId="16">#REF!</definedName>
    <definedName name="Debug" localSheetId="15">#REF!</definedName>
    <definedName name="Debug" localSheetId="5">#REF!</definedName>
    <definedName name="Debug" localSheetId="8">#REF!</definedName>
    <definedName name="Debug">#REF!</definedName>
    <definedName name="DestinationFolder">#REF!</definedName>
    <definedName name="ED">iadatasheet_population!#REF!</definedName>
    <definedName name="EditableSettings">#REF!</definedName>
    <definedName name="Header">#REF!</definedName>
    <definedName name="IDColumn">#REF!</definedName>
    <definedName name="MapLicence">#REF!</definedName>
    <definedName name="Market_towns">Districts!$B$2:$B$6</definedName>
    <definedName name="metarange1">Metadata!#REF!</definedName>
    <definedName name="NameColumn">#REF!</definedName>
    <definedName name="Parish">iadatasheet_population!#REF!</definedName>
    <definedName name="_xlnm.Print_Area" localSheetId="17">Metadata!#REF!</definedName>
    <definedName name="_xlnm.Print_Area" localSheetId="3">'Profile sheet'!$A$1:$J$127</definedName>
    <definedName name="Publish">#REF!</definedName>
    <definedName name="PublisherExecutable">#REF!</definedName>
    <definedName name="PublisherFolder">#REF!</definedName>
    <definedName name="range1">#REF!</definedName>
    <definedName name="range2">#REF!</definedName>
    <definedName name="range3">#REF!</definedName>
    <definedName name="RasterClip">#REF!</definedName>
    <definedName name="RasterCopy">#REF!</definedName>
    <definedName name="RasterXMLFiles">#REF!</definedName>
    <definedName name="SPSS">[1]DATABASE!#REF!</definedName>
    <definedName name="Stylesheet">#REF!</definedName>
    <definedName name="Template">#REF!</definedName>
    <definedName name="to_graph">#REF!</definedName>
    <definedName name="Wards">iadatasheet_population!#REF!</definedName>
    <definedName name="ZipFolder">#REF!</definedName>
  </definedNames>
  <calcPr calcId="152511"/>
</workbook>
</file>

<file path=xl/calcChain.xml><?xml version="1.0" encoding="utf-8"?>
<calcChain xmlns="http://schemas.openxmlformats.org/spreadsheetml/2006/main">
  <c r="CA9" i="23" l="1"/>
  <c r="BZ9" i="23"/>
  <c r="BV9" i="23"/>
  <c r="BU9" i="23"/>
  <c r="BP9" i="23"/>
  <c r="BO9" i="23"/>
  <c r="BL9" i="23"/>
  <c r="BK9" i="23"/>
  <c r="BH9" i="23"/>
  <c r="BG9" i="23"/>
  <c r="BB9" i="23"/>
  <c r="BA9" i="23"/>
  <c r="AX9" i="23"/>
  <c r="AW9" i="23"/>
  <c r="AT9" i="23"/>
  <c r="AS9" i="23"/>
  <c r="AP9" i="23"/>
  <c r="AO9" i="23"/>
  <c r="AL9" i="23"/>
  <c r="AK9" i="23"/>
  <c r="AI9" i="23"/>
  <c r="AF9" i="23"/>
  <c r="AE9" i="23"/>
  <c r="AB9" i="23"/>
  <c r="AA9" i="23"/>
  <c r="X9" i="23"/>
  <c r="W9" i="23"/>
  <c r="T9" i="23"/>
  <c r="S9" i="23"/>
  <c r="P9" i="23"/>
  <c r="O9" i="23"/>
  <c r="L9" i="23"/>
  <c r="K9" i="23"/>
  <c r="G9" i="23"/>
  <c r="H9" i="23"/>
  <c r="D9" i="23"/>
  <c r="C9" i="23"/>
  <c r="J24" i="33"/>
  <c r="J25" i="33"/>
  <c r="J26" i="33"/>
  <c r="J27" i="33"/>
  <c r="D3" i="39"/>
  <c r="D4" i="39"/>
  <c r="D5" i="39"/>
  <c r="D6" i="39"/>
  <c r="D2" i="39"/>
  <c r="C2" i="33"/>
  <c r="I78" i="33" s="1"/>
  <c r="J37" i="33"/>
  <c r="E101" i="33"/>
  <c r="E99" i="33"/>
  <c r="E110" i="33"/>
  <c r="E108" i="33"/>
  <c r="I92" i="33"/>
  <c r="I87" i="33"/>
  <c r="J79" i="33"/>
  <c r="J74" i="33"/>
  <c r="J69" i="33"/>
  <c r="J62" i="33"/>
  <c r="J55" i="33"/>
  <c r="J54" i="33" s="1"/>
  <c r="J49" i="33"/>
  <c r="J46" i="33" s="1"/>
  <c r="J43" i="33"/>
  <c r="E102" i="33"/>
  <c r="J99" i="33"/>
  <c r="J110" i="33"/>
  <c r="J108" i="33"/>
  <c r="I93" i="33"/>
  <c r="I88" i="33"/>
  <c r="J80" i="33"/>
  <c r="J73" i="33"/>
  <c r="J68" i="33"/>
  <c r="J58" i="33"/>
  <c r="J52" i="33"/>
  <c r="J48" i="33"/>
  <c r="J38" i="33"/>
  <c r="J19" i="33"/>
  <c r="J11" i="33"/>
  <c r="J9" i="33"/>
  <c r="J6" i="33"/>
  <c r="J22" i="33"/>
  <c r="J15" i="33"/>
  <c r="J12" i="33"/>
  <c r="J5" i="33"/>
  <c r="J29" i="33"/>
  <c r="J7" i="33"/>
  <c r="J14" i="33"/>
  <c r="J20" i="33"/>
  <c r="J4" i="33"/>
  <c r="J8" i="33"/>
  <c r="J10" i="33"/>
  <c r="J13" i="33"/>
  <c r="J21" i="33"/>
  <c r="J44" i="33"/>
  <c r="J42" i="33" s="1"/>
  <c r="J50" i="33"/>
  <c r="J56" i="33"/>
  <c r="J63" i="33"/>
  <c r="J70" i="33"/>
  <c r="J78" i="33"/>
  <c r="I86" i="33"/>
  <c r="I91" i="33"/>
  <c r="I95" i="33"/>
  <c r="J109" i="33"/>
  <c r="J111" i="33"/>
  <c r="J100" i="33"/>
  <c r="J34" i="33"/>
  <c r="J47" i="33"/>
  <c r="J51" i="33"/>
  <c r="J57" i="33"/>
  <c r="J67" i="33"/>
  <c r="J71" i="33"/>
  <c r="J77" i="33"/>
  <c r="I85" i="33"/>
  <c r="I89" i="33"/>
  <c r="I94" i="33"/>
  <c r="E109" i="33"/>
  <c r="E111" i="33"/>
  <c r="E100" i="33"/>
  <c r="E103" i="33"/>
  <c r="J31" i="33"/>
  <c r="J36" i="33"/>
  <c r="J32" i="33"/>
  <c r="H5" i="33"/>
  <c r="I100" i="33"/>
  <c r="G88" i="33"/>
  <c r="H38" i="33"/>
  <c r="I50" i="33"/>
  <c r="I43" i="33"/>
  <c r="H73" i="33"/>
  <c r="H87" i="33"/>
  <c r="C102" i="33"/>
  <c r="H24" i="33"/>
  <c r="I34" i="33"/>
  <c r="D102" i="33"/>
  <c r="H44" i="33"/>
  <c r="H29" i="33"/>
  <c r="I32" i="33"/>
  <c r="H32" i="33"/>
  <c r="D109" i="33"/>
  <c r="C110" i="33"/>
  <c r="H79" i="33"/>
  <c r="H94" i="33"/>
  <c r="H85" i="33"/>
  <c r="G94" i="33"/>
  <c r="I44" i="33"/>
  <c r="I51" i="33"/>
  <c r="I37" i="33"/>
  <c r="H8" i="33"/>
  <c r="E15" i="33"/>
  <c r="H58" i="33"/>
  <c r="I5" i="33"/>
  <c r="H43" i="33"/>
  <c r="H42" i="33" s="1"/>
  <c r="H69" i="33"/>
  <c r="H63" i="33"/>
  <c r="C100" i="33"/>
  <c r="H36" i="33"/>
  <c r="H51" i="33"/>
  <c r="D100" i="33"/>
  <c r="C103" i="33"/>
  <c r="I80" i="33"/>
  <c r="H110" i="33"/>
  <c r="H50" i="33"/>
  <c r="H56" i="33"/>
  <c r="H75" i="33"/>
  <c r="H4" i="33"/>
  <c r="H48" i="33"/>
  <c r="I70" i="33"/>
  <c r="H89" i="33"/>
  <c r="H80" i="33"/>
  <c r="I57" i="33"/>
  <c r="I109" i="33"/>
  <c r="I13" i="33"/>
  <c r="I22" i="33"/>
  <c r="I68" i="33"/>
  <c r="I42" i="33" l="1"/>
  <c r="I31" i="33"/>
  <c r="I19" i="33"/>
  <c r="H34" i="33"/>
  <c r="I47" i="33"/>
  <c r="H55" i="33"/>
  <c r="H13" i="33"/>
  <c r="G89" i="33"/>
  <c r="I6" i="33"/>
  <c r="I38" i="33"/>
  <c r="I63" i="33"/>
  <c r="H26" i="33"/>
  <c r="H21" i="33"/>
  <c r="I29" i="33"/>
  <c r="E12" i="33"/>
  <c r="H68" i="33"/>
  <c r="I25" i="33"/>
  <c r="H99" i="33"/>
  <c r="E13" i="33"/>
  <c r="H37" i="33"/>
  <c r="G95" i="33"/>
  <c r="H71" i="33"/>
  <c r="C99" i="33"/>
  <c r="H27" i="33"/>
  <c r="E10" i="33"/>
  <c r="H15" i="33"/>
  <c r="H11" i="33"/>
  <c r="I77" i="33"/>
  <c r="H109" i="33"/>
  <c r="G92" i="33"/>
  <c r="H12" i="33"/>
  <c r="I11" i="33"/>
  <c r="H86" i="33"/>
  <c r="I108" i="33"/>
  <c r="H95" i="33"/>
  <c r="H57" i="33"/>
  <c r="H93" i="33"/>
  <c r="I21" i="33"/>
  <c r="E14" i="33"/>
  <c r="I10" i="33"/>
  <c r="G91" i="33"/>
  <c r="I71" i="33"/>
  <c r="I52" i="33"/>
  <c r="H25" i="33"/>
  <c r="D99" i="33"/>
  <c r="H91" i="33"/>
  <c r="I7" i="33"/>
  <c r="G87" i="33"/>
  <c r="I56" i="33"/>
  <c r="H14" i="33"/>
  <c r="H62" i="33"/>
  <c r="I67" i="33"/>
  <c r="I58" i="33"/>
  <c r="H108" i="33"/>
  <c r="I74" i="33"/>
  <c r="C111" i="33"/>
  <c r="D108" i="33"/>
  <c r="I55" i="33"/>
  <c r="I54" i="33" s="1"/>
  <c r="I8" i="33"/>
  <c r="H6" i="33"/>
  <c r="I27" i="33"/>
  <c r="H70" i="33"/>
  <c r="E11" i="33"/>
  <c r="D103" i="33"/>
  <c r="H88" i="33"/>
  <c r="D101" i="33"/>
  <c r="I111" i="33"/>
  <c r="I14" i="33"/>
  <c r="H22" i="33"/>
  <c r="D110" i="33"/>
  <c r="H47" i="33"/>
  <c r="H19" i="33"/>
  <c r="I26" i="33"/>
  <c r="I36" i="33"/>
  <c r="C108" i="33"/>
  <c r="I73" i="33"/>
  <c r="I48" i="33"/>
  <c r="D111" i="33"/>
  <c r="H92" i="33"/>
  <c r="I79" i="33"/>
  <c r="I69" i="33"/>
  <c r="D4" i="33"/>
  <c r="G85" i="33"/>
  <c r="H100" i="33"/>
  <c r="G86" i="33"/>
  <c r="I62" i="33"/>
  <c r="I49" i="33"/>
  <c r="I4" i="33"/>
  <c r="I12" i="33"/>
  <c r="H20" i="33"/>
  <c r="H10" i="33"/>
  <c r="I20" i="33"/>
  <c r="C109" i="33"/>
  <c r="G93" i="33"/>
  <c r="H52" i="33"/>
  <c r="I9" i="33"/>
  <c r="H7" i="33"/>
  <c r="H111" i="33"/>
  <c r="H49" i="33"/>
  <c r="H74" i="33"/>
  <c r="I99" i="33"/>
  <c r="H9" i="33"/>
  <c r="H31" i="33"/>
  <c r="I15" i="33"/>
  <c r="I110" i="33"/>
  <c r="H77" i="33"/>
  <c r="H78" i="33"/>
  <c r="H67" i="33"/>
  <c r="C101" i="33"/>
  <c r="I24" i="33"/>
  <c r="H54" i="33" l="1"/>
  <c r="I46" i="33"/>
  <c r="H46" i="33"/>
  <c r="H60" i="33" s="1"/>
</calcChain>
</file>

<file path=xl/sharedStrings.xml><?xml version="1.0" encoding="utf-8"?>
<sst xmlns="http://schemas.openxmlformats.org/spreadsheetml/2006/main" count="964" uniqueCount="390">
  <si>
    <t xml:space="preserve">Length of residence is only applicable to usual residents who were not born in the UK. The length of residence in the UK is derived from the date that a person last arrived to live in the UK (see Census table QS803EW). </t>
  </si>
  <si>
    <t>Output area</t>
  </si>
  <si>
    <r>
      <t xml:space="preserve">2011 Census: </t>
    </r>
    <r>
      <rPr>
        <sz val="9"/>
        <rFont val="Calibri"/>
        <family val="2"/>
      </rPr>
      <t xml:space="preserve">The 2011 population census took place on 27 March 2011. The data provided in this profile is based on output measures for the </t>
    </r>
    <r>
      <rPr>
        <b/>
        <sz val="9"/>
        <rFont val="Calibri"/>
        <family val="2"/>
      </rPr>
      <t xml:space="preserve">usual resident </t>
    </r>
    <r>
      <rPr>
        <sz val="9"/>
        <rFont val="Calibri"/>
        <family val="2"/>
      </rPr>
      <t xml:space="preserve">population.A </t>
    </r>
    <r>
      <rPr>
        <b/>
        <sz val="9"/>
        <rFont val="Calibri"/>
        <family val="2"/>
      </rPr>
      <t>usual resident</t>
    </r>
    <r>
      <rPr>
        <sz val="9"/>
        <rFont val="Calibri"/>
        <family val="2"/>
      </rPr>
      <t xml:space="preserve"> of the UK is anyone who, on census day, was in the UK and had stayed or intended to stay in the UK for a period of 12 months or more, or had a permanent UK address and was outside the UK and intended to be outside the UK for less than 12 months. A </t>
    </r>
    <r>
      <rPr>
        <b/>
        <sz val="9"/>
        <rFont val="Calibri"/>
        <family val="2"/>
      </rPr>
      <t xml:space="preserve">household </t>
    </r>
    <r>
      <rPr>
        <sz val="9"/>
        <rFont val="Calibri"/>
        <family val="2"/>
      </rPr>
      <t>is defined as one person living alone, or a group of people (not necessarily related) living at the same address who share cooking facilities and share a living room or sitting room or dining area.</t>
    </r>
  </si>
  <si>
    <t>Percentage of total population</t>
  </si>
  <si>
    <t>Scotland</t>
  </si>
  <si>
    <t>Number</t>
  </si>
  <si>
    <t>Total</t>
  </si>
  <si>
    <t>0-4</t>
  </si>
  <si>
    <t>male</t>
  </si>
  <si>
    <t>female</t>
  </si>
  <si>
    <t>5-9</t>
  </si>
  <si>
    <t>10-14</t>
  </si>
  <si>
    <t>20-24</t>
  </si>
  <si>
    <t>25-44</t>
  </si>
  <si>
    <t>45-59</t>
  </si>
  <si>
    <t>60-64</t>
  </si>
  <si>
    <t>65-74</t>
  </si>
  <si>
    <t>75-84</t>
  </si>
  <si>
    <t>90+</t>
  </si>
  <si>
    <t>Resident population by age</t>
  </si>
  <si>
    <t>Resident population by ethnic group</t>
  </si>
  <si>
    <t>White British</t>
  </si>
  <si>
    <t>White Irish</t>
  </si>
  <si>
    <t>Mixed - White and Black African</t>
  </si>
  <si>
    <t>Mixed- White and Black Caribbean</t>
  </si>
  <si>
    <t>Mixed - White and Asian</t>
  </si>
  <si>
    <t>Mixed - Other mixed</t>
  </si>
  <si>
    <t>Asian or Asian British - Indian</t>
  </si>
  <si>
    <t>Asian or Asian British - Pakistani</t>
  </si>
  <si>
    <t>Asian or Asian British - Bangladeshi</t>
  </si>
  <si>
    <t>Asian or Asian British - Other Asian</t>
  </si>
  <si>
    <t>total</t>
  </si>
  <si>
    <t>Total population</t>
  </si>
  <si>
    <t>White</t>
  </si>
  <si>
    <t>Non-White</t>
  </si>
  <si>
    <t>number</t>
  </si>
  <si>
    <t>Residents with good general health in the previous year</t>
  </si>
  <si>
    <t>Married/cohabiting households - no children</t>
  </si>
  <si>
    <t>Married/cohabiting households - with dependent children</t>
  </si>
  <si>
    <t>Married/cohabiting households - all children non-dependent</t>
  </si>
  <si>
    <t>Lone parent households - with dependent children</t>
  </si>
  <si>
    <t>Household type (number of households)</t>
  </si>
  <si>
    <t>Household type (% of total households)</t>
  </si>
  <si>
    <t>One person households</t>
  </si>
  <si>
    <t>One family and no others</t>
  </si>
  <si>
    <t>Other households</t>
  </si>
  <si>
    <t>With dependent children</t>
  </si>
  <si>
    <t>All student</t>
  </si>
  <si>
    <t>Other</t>
  </si>
  <si>
    <t>Total households</t>
  </si>
  <si>
    <t>Detached house or bungalow</t>
  </si>
  <si>
    <t>Semi-detached house or bungalow</t>
  </si>
  <si>
    <t>Terraced house or bungalow</t>
  </si>
  <si>
    <t>Caravan or other mobile or temporary structure</t>
  </si>
  <si>
    <t>No central heating</t>
  </si>
  <si>
    <t>Average household size</t>
  </si>
  <si>
    <t>Owner occupied- owned outright</t>
  </si>
  <si>
    <t>Owner occupied - owned with a mortgage</t>
  </si>
  <si>
    <t>Rented from Local Authority</t>
  </si>
  <si>
    <t>Rented from Housing Association or Registered Social Landlord</t>
  </si>
  <si>
    <t>Rented privately/other</t>
  </si>
  <si>
    <t>Lives rent free</t>
  </si>
  <si>
    <t>Household characteristics</t>
  </si>
  <si>
    <t>Owner occupied - owned as shared ownership</t>
  </si>
  <si>
    <t>Economically active</t>
  </si>
  <si>
    <t>Self-employed</t>
  </si>
  <si>
    <t>Economically inactive</t>
  </si>
  <si>
    <t>Retired</t>
  </si>
  <si>
    <t>Students</t>
  </si>
  <si>
    <t>Looking after family</t>
  </si>
  <si>
    <t>Sick/disabled</t>
  </si>
  <si>
    <t>Subtotals</t>
  </si>
  <si>
    <t>Unemployed</t>
  </si>
  <si>
    <t>total population aged 16-74</t>
  </si>
  <si>
    <t>Religion</t>
  </si>
  <si>
    <t>economically inactive</t>
  </si>
  <si>
    <t>Christian</t>
  </si>
  <si>
    <t>Hindu</t>
  </si>
  <si>
    <t>Jewish</t>
  </si>
  <si>
    <t>Muslim</t>
  </si>
  <si>
    <t>Sikh</t>
  </si>
  <si>
    <t>Other religion</t>
  </si>
  <si>
    <t>No religion</t>
  </si>
  <si>
    <t>Religion not stated</t>
  </si>
  <si>
    <t>East Cambridgeshire</t>
  </si>
  <si>
    <t>Fenland</t>
  </si>
  <si>
    <t>Huntingdonshire</t>
  </si>
  <si>
    <t>South Cambridgeshire</t>
  </si>
  <si>
    <t>Lone parent households - all children non-dependent</t>
  </si>
  <si>
    <t>Dependent children in households with no one in employment</t>
  </si>
  <si>
    <t>With no one in employment</t>
  </si>
  <si>
    <t>Employed</t>
  </si>
  <si>
    <t>White: Gypsy and Traveller</t>
  </si>
  <si>
    <t>White Other</t>
  </si>
  <si>
    <t>Asian or Asian British - Chinese</t>
  </si>
  <si>
    <t>Black/African/Caribbean/Black British - African</t>
  </si>
  <si>
    <t>Black/African/Caribbean/Black British - Caribbean</t>
  </si>
  <si>
    <t>Black/African/Caribbean/Black British - Other black</t>
  </si>
  <si>
    <t>all persons</t>
  </si>
  <si>
    <t>White % of total</t>
  </si>
  <si>
    <t>Non-White % of total</t>
  </si>
  <si>
    <t>Health and carers</t>
  </si>
  <si>
    <t>Residents with very good general health in the previous year</t>
  </si>
  <si>
    <t>Residents with fair general health in the previous year</t>
  </si>
  <si>
    <t>Residents with bad or very bad general health in the previous year</t>
  </si>
  <si>
    <t>Residents with a long-term activity-limiting illness</t>
  </si>
  <si>
    <t>Residents providing 1-19 hours of unpaid care per week</t>
  </si>
  <si>
    <t>Residents providing 20-49 hours of unpaid care per week</t>
  </si>
  <si>
    <t>Residents providing 50+ hours of unpaid care per week</t>
  </si>
  <si>
    <t>Aged 65 and over</t>
  </si>
  <si>
    <t>All aged 65+</t>
  </si>
  <si>
    <t>Economic activity (number of people aged 16-74yrs)</t>
  </si>
  <si>
    <t>Economic activity (% of total population aged 16-74yrs)</t>
  </si>
  <si>
    <t>Passports held</t>
  </si>
  <si>
    <t>All residents</t>
  </si>
  <si>
    <t>No passport</t>
  </si>
  <si>
    <t>United Kingdom</t>
  </si>
  <si>
    <t>Republic of Ireland</t>
  </si>
  <si>
    <t>Other Europe: EU countries</t>
  </si>
  <si>
    <t>Other Europe: Non EU countries</t>
  </si>
  <si>
    <t>Africa</t>
  </si>
  <si>
    <t>Middle East and Asia</t>
  </si>
  <si>
    <t>Northern America and the Caribbean</t>
  </si>
  <si>
    <t>Central America</t>
  </si>
  <si>
    <t>South America</t>
  </si>
  <si>
    <t>Length of residence</t>
  </si>
  <si>
    <t>Total residents</t>
  </si>
  <si>
    <t>Born in the UK</t>
  </si>
  <si>
    <t>Resident in UK: Less than 2 years</t>
  </si>
  <si>
    <t>Resident in UK: 2 years or more but less than 5 years</t>
  </si>
  <si>
    <t>Resident in UK: 5 years or more but less than 10 years</t>
  </si>
  <si>
    <t>Resident in UK: 10 years or more</t>
  </si>
  <si>
    <t>Country of Birth</t>
  </si>
  <si>
    <t>England</t>
  </si>
  <si>
    <t>Northern Ireland</t>
  </si>
  <si>
    <t>Wales</t>
  </si>
  <si>
    <t>UK not otherwise specified</t>
  </si>
  <si>
    <t>Other EU: Member countries in March 2001</t>
  </si>
  <si>
    <t>Other EU: Accession countries April 2001 to March 2011</t>
  </si>
  <si>
    <t>Other countries</t>
  </si>
  <si>
    <t>Flat maisonette or apartment</t>
  </si>
  <si>
    <t>85-89</t>
  </si>
  <si>
    <t>#1</t>
  </si>
  <si>
    <t>#2</t>
  </si>
  <si>
    <t>#3</t>
  </si>
  <si>
    <t>#4</t>
  </si>
  <si>
    <t>#5</t>
  </si>
  <si>
    <t>15-19</t>
  </si>
  <si>
    <t>Tenure (% households)</t>
  </si>
  <si>
    <t>Tenure (households)</t>
  </si>
  <si>
    <t>Total Household Spaces</t>
  </si>
  <si>
    <t>Total Households</t>
  </si>
  <si>
    <t>Total dwellings</t>
  </si>
  <si>
    <t>Dwelling type, characteristics and tenure (%)</t>
  </si>
  <si>
    <t>Dwelling type, characteristics and tenure (count)</t>
  </si>
  <si>
    <t>Dwelling characteristics (households)</t>
  </si>
  <si>
    <t>Dwelling characteristics (% households)</t>
  </si>
  <si>
    <t>Population</t>
  </si>
  <si>
    <t>Ethnicity</t>
  </si>
  <si>
    <t>Health</t>
  </si>
  <si>
    <t>Household type</t>
  </si>
  <si>
    <t>Dwelling type</t>
  </si>
  <si>
    <t>Economic Activity</t>
  </si>
  <si>
    <t>Country of birth</t>
  </si>
  <si>
    <t>Age (years)</t>
  </si>
  <si>
    <t>Summary statistics</t>
  </si>
  <si>
    <t>Resident population</t>
  </si>
  <si>
    <t>Area (Hectares)</t>
  </si>
  <si>
    <t>Average household size (people)</t>
  </si>
  <si>
    <t>Population characteristics</t>
  </si>
  <si>
    <t>Number of households</t>
  </si>
  <si>
    <t>Ethnic Group</t>
  </si>
  <si>
    <t>Asian/Asian British</t>
  </si>
  <si>
    <t>Black/Black British</t>
  </si>
  <si>
    <t>Mixed</t>
  </si>
  <si>
    <t>Carers</t>
  </si>
  <si>
    <t>Number of people providing unpaid care</t>
  </si>
  <si>
    <t>Over 65 years</t>
  </si>
  <si>
    <t>% of total</t>
  </si>
  <si>
    <t>Married/cohabiting couple - no children</t>
  </si>
  <si>
    <t>Married/cohabiting couple - with children</t>
  </si>
  <si>
    <t>Married/cohabiting couple - all children non-dependent</t>
  </si>
  <si>
    <t>Lone parent - with dependent children</t>
  </si>
  <si>
    <t>Lone parent - all children non-dependent</t>
  </si>
  <si>
    <t>Total residents providing unpaid care</t>
  </si>
  <si>
    <t>Flat, maisonette, or apartment</t>
  </si>
  <si>
    <t>Dwelling characteristics</t>
  </si>
  <si>
    <t>Tenure</t>
  </si>
  <si>
    <t>Owner occupied</t>
  </si>
  <si>
    <t>Rented - private rented</t>
  </si>
  <si>
    <t>Overcrowding (1+ too few bedrooms for household size)</t>
  </si>
  <si>
    <t>Average household size (persons)</t>
  </si>
  <si>
    <t>Rented - local authority</t>
  </si>
  <si>
    <t>Rented - social rented (eg housing association)</t>
  </si>
  <si>
    <t>Economic activity (16-74years population)</t>
  </si>
  <si>
    <t>Working</t>
  </si>
  <si>
    <t>Employees</t>
  </si>
  <si>
    <t>Looking after home/family</t>
  </si>
  <si>
    <t>Born in UK</t>
  </si>
  <si>
    <t>Born elsewhere in EU</t>
  </si>
  <si>
    <t>Born outside EU</t>
  </si>
  <si>
    <t>No-one in employment</t>
  </si>
  <si>
    <t>No-one in employment with dependent children</t>
  </si>
  <si>
    <t>UK total</t>
  </si>
  <si>
    <t>Other EU: Ireland</t>
  </si>
  <si>
    <t>Travel to work</t>
  </si>
  <si>
    <t>Bus</t>
  </si>
  <si>
    <t>Train</t>
  </si>
  <si>
    <t>Cycle</t>
  </si>
  <si>
    <t>Foot</t>
  </si>
  <si>
    <t>All Usual Residents Aged 16 to 74</t>
  </si>
  <si>
    <t>Work Mainly at or From Home</t>
  </si>
  <si>
    <t>Underground, Metro, Light Rail, Tram</t>
  </si>
  <si>
    <t>Bus, Minibus or Coach</t>
  </si>
  <si>
    <t>Taxi</t>
  </si>
  <si>
    <t>Motorcycle, Scooter or Moped</t>
  </si>
  <si>
    <t>Driving a Car or Van</t>
  </si>
  <si>
    <t>Passenger in a Car or Van</t>
  </si>
  <si>
    <t>Bicycle</t>
  </si>
  <si>
    <t>On Foot</t>
  </si>
  <si>
    <t>Other Method of Travel to Work</t>
  </si>
  <si>
    <t>Not in Employment</t>
  </si>
  <si>
    <t>Car/van</t>
  </si>
  <si>
    <t>% of total*</t>
  </si>
  <si>
    <t>Car or van (total count)</t>
  </si>
  <si>
    <t>Qualifications (16+ years population)</t>
  </si>
  <si>
    <t>No qualification</t>
  </si>
  <si>
    <t>All Usual Residents Aged 16 and Over</t>
  </si>
  <si>
    <t>No Qualifications</t>
  </si>
  <si>
    <t>Highest Level of Qualification; Level 1 Qualifications</t>
  </si>
  <si>
    <t>Highest Level of Qualification; Level 2 Qualifications</t>
  </si>
  <si>
    <t>Highest Level of Qualification; Apprenticeship</t>
  </si>
  <si>
    <t>Highest Level of Qualification; Level 3 Qualifications</t>
  </si>
  <si>
    <t>Highest Level of Qualification; Level 4 Qualifications and Above</t>
  </si>
  <si>
    <t>Highest Level of Qualification; Other Qualifications</t>
  </si>
  <si>
    <t>Schoolchildren and Full-Time Students; Age 16 to 17</t>
  </si>
  <si>
    <t>Schoolchildren and Full-Time Students; Age 18 and Over</t>
  </si>
  <si>
    <t>Full-Time Students; Age 18 to 74; Economically Active; In Employment</t>
  </si>
  <si>
    <t>Full-Time Students; Age 18 to 74; Economically Active; Unemployed</t>
  </si>
  <si>
    <t>Full-Time Students; Age 18 to 74; Economically Inactive</t>
  </si>
  <si>
    <t>No qualifications (% of total)</t>
  </si>
  <si>
    <t>Highest Level of Qualification; Level 4 Qualifications and Above (% of total)</t>
  </si>
  <si>
    <t>Level 4+</t>
  </si>
  <si>
    <t>*Level 4+ qualifications: Degree, Higher Degree, NVQ Level 4-5 or similar (see ONS Census table KS501EW for full definitions).</t>
  </si>
  <si>
    <t>People with a long-term activity limiting illness</t>
  </si>
  <si>
    <t>People declaring 'bad' or 'very bad' general health</t>
  </si>
  <si>
    <t>Resident full-time students (aged 18+ years)</t>
  </si>
  <si>
    <t>Schoolchildren and Full-Time Students; Age 18 and Over (% of total)</t>
  </si>
  <si>
    <t>UK</t>
  </si>
  <si>
    <t>Europe - EU</t>
  </si>
  <si>
    <t>Length of residence in UK</t>
  </si>
  <si>
    <t>Less than 2 years</t>
  </si>
  <si>
    <t>2-5years</t>
  </si>
  <si>
    <t>More than 5 years</t>
  </si>
  <si>
    <t xml:space="preserve">Resident in UK: 5 years or more </t>
  </si>
  <si>
    <t xml:space="preserve">Census data has been provided by the Office for National Statistics (ONS). This profile uses extracts from several published data sets. Please refer to the ONS data tables for further details and definitions. </t>
  </si>
  <si>
    <t>Number of dwellings (approx)</t>
  </si>
  <si>
    <t>About the Research and Performance Team</t>
  </si>
  <si>
    <t xml:space="preserve">The Research and Performance Team is the central research and information section of Cambridgeshire County Council. We use a variety of information about the  </t>
  </si>
  <si>
    <t>people and economy of Cambridgeshire to help plan services for the county. The Research and Performance Team also supports a range of other partner agencies and partnerships.</t>
  </si>
  <si>
    <t>Subjects covered by the Research and Performance Team include:</t>
  </si>
  <si>
    <r>
      <t>·</t>
    </r>
    <r>
      <rPr>
        <sz val="10"/>
        <color indexed="8"/>
        <rFont val="Times New Roman"/>
        <family val="1"/>
      </rPr>
      <t xml:space="preserve">         </t>
    </r>
    <r>
      <rPr>
        <sz val="10"/>
        <color indexed="8"/>
        <rFont val="Arial"/>
        <family val="2"/>
      </rPr>
      <t>Census Analysis</t>
    </r>
  </si>
  <si>
    <r>
      <t>·</t>
    </r>
    <r>
      <rPr>
        <sz val="10"/>
        <color indexed="8"/>
        <rFont val="Times New Roman"/>
        <family val="1"/>
      </rPr>
      <t xml:space="preserve">         </t>
    </r>
    <r>
      <rPr>
        <sz val="10"/>
        <color indexed="8"/>
        <rFont val="Arial"/>
        <family val="2"/>
      </rPr>
      <t xml:space="preserve">Consultations and Surveys </t>
    </r>
  </si>
  <si>
    <r>
      <t>·</t>
    </r>
    <r>
      <rPr>
        <sz val="10"/>
        <color indexed="8"/>
        <rFont val="Times New Roman"/>
        <family val="1"/>
      </rPr>
      <t xml:space="preserve">         </t>
    </r>
    <r>
      <rPr>
        <sz val="10"/>
        <color indexed="8"/>
        <rFont val="Arial"/>
        <family val="2"/>
      </rPr>
      <t>Crime and Community Safety</t>
    </r>
  </si>
  <si>
    <r>
      <t>·</t>
    </r>
    <r>
      <rPr>
        <sz val="10"/>
        <color indexed="8"/>
        <rFont val="Times New Roman"/>
        <family val="1"/>
      </rPr>
      <t xml:space="preserve">         </t>
    </r>
    <r>
      <rPr>
        <sz val="10"/>
        <color indexed="8"/>
        <rFont val="Arial"/>
        <family val="2"/>
      </rPr>
      <t xml:space="preserve">Economy and The Labour Market </t>
    </r>
  </si>
  <si>
    <r>
      <t>·</t>
    </r>
    <r>
      <rPr>
        <sz val="10"/>
        <color indexed="8"/>
        <rFont val="Times New Roman"/>
        <family val="1"/>
      </rPr>
      <t xml:space="preserve">         </t>
    </r>
    <r>
      <rPr>
        <sz val="10"/>
        <color indexed="8"/>
        <rFont val="Arial"/>
        <family val="2"/>
      </rPr>
      <t xml:space="preserve">Health </t>
    </r>
  </si>
  <si>
    <r>
      <t>·</t>
    </r>
    <r>
      <rPr>
        <sz val="10"/>
        <color indexed="8"/>
        <rFont val="Times New Roman"/>
        <family val="1"/>
      </rPr>
      <t xml:space="preserve">         </t>
    </r>
    <r>
      <rPr>
        <sz val="10"/>
        <color indexed="8"/>
        <rFont val="Arial"/>
        <family val="2"/>
      </rPr>
      <t xml:space="preserve">Housing </t>
    </r>
  </si>
  <si>
    <r>
      <t>·</t>
    </r>
    <r>
      <rPr>
        <sz val="10"/>
        <color indexed="8"/>
        <rFont val="Times New Roman"/>
        <family val="1"/>
      </rPr>
      <t xml:space="preserve">         </t>
    </r>
    <r>
      <rPr>
        <sz val="10"/>
        <color indexed="8"/>
        <rFont val="Arial"/>
        <family val="2"/>
      </rPr>
      <t>Mapping and GIS</t>
    </r>
  </si>
  <si>
    <r>
      <t>·</t>
    </r>
    <r>
      <rPr>
        <sz val="10"/>
        <color indexed="8"/>
        <rFont val="Times New Roman"/>
        <family val="1"/>
      </rPr>
      <t xml:space="preserve">         </t>
    </r>
    <r>
      <rPr>
        <sz val="10"/>
        <color indexed="8"/>
        <rFont val="Arial"/>
        <family val="2"/>
      </rPr>
      <t xml:space="preserve">Population </t>
    </r>
  </si>
  <si>
    <r>
      <t>·</t>
    </r>
    <r>
      <rPr>
        <sz val="10"/>
        <color indexed="8"/>
        <rFont val="Times New Roman"/>
        <family val="1"/>
      </rPr>
      <t xml:space="preserve">         </t>
    </r>
    <r>
      <rPr>
        <sz val="10"/>
        <color indexed="8"/>
        <rFont val="Arial"/>
        <family val="2"/>
      </rPr>
      <t xml:space="preserve">Pupil Forecasting </t>
    </r>
  </si>
  <si>
    <r>
      <t>·</t>
    </r>
    <r>
      <rPr>
        <sz val="10"/>
        <color indexed="8"/>
        <rFont val="Times New Roman"/>
        <family val="1"/>
      </rPr>
      <t xml:space="preserve">         </t>
    </r>
    <r>
      <rPr>
        <sz val="10"/>
        <color indexed="8"/>
        <rFont val="Arial"/>
        <family val="2"/>
      </rPr>
      <t>Performance Management</t>
    </r>
  </si>
  <si>
    <t>Contact details</t>
  </si>
  <si>
    <t>Research and Performance Team</t>
  </si>
  <si>
    <t>Cambridgeshire County Council</t>
  </si>
  <si>
    <t>Shire Hall</t>
  </si>
  <si>
    <t>Cambridge CB3 0AP</t>
  </si>
  <si>
    <r>
      <t>Tel:</t>
    </r>
    <r>
      <rPr>
        <sz val="10"/>
        <color indexed="8"/>
        <rFont val="Arial"/>
        <family val="2"/>
      </rPr>
      <t xml:space="preserve"> 01223 715300</t>
    </r>
  </si>
  <si>
    <r>
      <t>Email Us</t>
    </r>
    <r>
      <rPr>
        <sz val="10"/>
        <color indexed="8"/>
        <rFont val="Arial"/>
        <family val="2"/>
      </rPr>
      <t xml:space="preserve">: </t>
    </r>
  </si>
  <si>
    <t>research.performance@cambridgeshire.gov.uk</t>
  </si>
  <si>
    <r>
      <t>Website</t>
    </r>
    <r>
      <rPr>
        <sz val="10"/>
        <rFont val="Arial"/>
      </rPr>
      <t>:</t>
    </r>
  </si>
  <si>
    <t>http://www.cambridgeshireinsight.org.uk/</t>
  </si>
  <si>
    <r>
      <t>Twitter:</t>
    </r>
    <r>
      <rPr>
        <sz val="10"/>
        <rFont val="Arial"/>
      </rPr>
      <t xml:space="preserve"> </t>
    </r>
  </si>
  <si>
    <t xml:space="preserve">@CambsInsight </t>
  </si>
  <si>
    <t>Produced by the Research and Performance Team, Cambridgeshire County Council, 2013 (Tel: 01223 715300)</t>
  </si>
  <si>
    <t>METADATA</t>
  </si>
  <si>
    <t>Resident Population</t>
  </si>
  <si>
    <t>Usual resident</t>
  </si>
  <si>
    <t>Household</t>
  </si>
  <si>
    <t>A usual resident is anyone who, on census day, was in the UK and had stayed or intended to stay for a period of 12 months or more, or had a permanent UK address and was outside the UK and intended to be outside the UK for less than 12 months.</t>
  </si>
  <si>
    <t>A usual resident is anyone who, on census day, was in the UK and had stayed or intended to stay for a period of 12 months or more, or had a permanent UK address and was outside the UK and intended to be outside the UK for less than 12 months (see Census table KS101EW).</t>
  </si>
  <si>
    <t>Residents were asked which passports they held. Where a person held more than one passport they were asked to indicate all that applied (see Census table KS205EW).</t>
  </si>
  <si>
    <t>ENTER</t>
  </si>
  <si>
    <t>Qualification</t>
  </si>
  <si>
    <t>Metadata</t>
  </si>
  <si>
    <t>#6</t>
  </si>
  <si>
    <t>Cambridgeshire</t>
  </si>
  <si>
    <t>#7</t>
  </si>
  <si>
    <t>East of England</t>
  </si>
  <si>
    <t>#8</t>
  </si>
  <si>
    <t>England &amp; Wales</t>
  </si>
  <si>
    <t>Local Authority</t>
  </si>
  <si>
    <t>Mixed total</t>
  </si>
  <si>
    <t>Asian or Asian British total</t>
  </si>
  <si>
    <t>Black/Black British total</t>
  </si>
  <si>
    <t>Owner occupied (total)</t>
  </si>
  <si>
    <t>Area (hectares)</t>
  </si>
  <si>
    <t>Person per hectare</t>
  </si>
  <si>
    <t>Rep. of Ireland</t>
  </si>
  <si>
    <t>Another religion stated</t>
  </si>
  <si>
    <t>Cambridge</t>
  </si>
  <si>
    <t>Overcrowding (-1 bedrooms or more)</t>
  </si>
  <si>
    <t>Accommodation type (household spaces)</t>
  </si>
  <si>
    <t>Accommodation type (% household spaces)</t>
  </si>
  <si>
    <t>DATA BY TOPIC</t>
  </si>
  <si>
    <t>Select Data Topic:</t>
  </si>
  <si>
    <t>Qualifications</t>
  </si>
  <si>
    <t>Accommodation type, characteristics and tenure</t>
  </si>
  <si>
    <t>Accommodation type*</t>
  </si>
  <si>
    <t>*Accommodation type is a count of household spaces not households</t>
  </si>
  <si>
    <t>All over 65 years</t>
  </si>
  <si>
    <t>Travel to work (16-74 years population)</t>
  </si>
  <si>
    <t>*total working population aged 16-74 years</t>
  </si>
  <si>
    <t>This sheet is formatted so that the data table will print out as a two-sided profile. Press print preview to show this.</t>
  </si>
  <si>
    <r>
      <t>Click here</t>
    </r>
    <r>
      <rPr>
        <b/>
        <sz val="12"/>
        <rFont val="Arial"/>
        <family val="2"/>
      </rPr>
      <t xml:space="preserve"> to return to topic homepage</t>
    </r>
  </si>
  <si>
    <r>
      <t xml:space="preserve">Click here </t>
    </r>
    <r>
      <rPr>
        <b/>
        <sz val="12"/>
        <rFont val="Arial"/>
        <family val="2"/>
      </rPr>
      <t>to return to topic homepage</t>
    </r>
  </si>
  <si>
    <t xml:space="preserve">Length of residence </t>
  </si>
  <si>
    <r>
      <t>Click here</t>
    </r>
    <r>
      <rPr>
        <b/>
        <sz val="12"/>
        <color indexed="12"/>
        <rFont val="Arial"/>
        <family val="2"/>
      </rPr>
      <t xml:space="preserve"> </t>
    </r>
    <r>
      <rPr>
        <b/>
        <sz val="12"/>
        <rFont val="Arial"/>
        <family val="2"/>
      </rPr>
      <t>to return to homepage</t>
    </r>
  </si>
  <si>
    <r>
      <t xml:space="preserve">Click here </t>
    </r>
    <r>
      <rPr>
        <b/>
        <sz val="10"/>
        <rFont val="Arial"/>
        <family val="2"/>
      </rPr>
      <t>to return to topic homepage</t>
    </r>
  </si>
  <si>
    <r>
      <t xml:space="preserve">As further 2011 Census data is released from the Office for National Statistics (ONS) we will endeavour to expand the data available within this database accordingly. If there is a specific data set you would like access to, or for any other feedback, do not hesitate in contacting the Research and Performance Team at </t>
    </r>
    <r>
      <rPr>
        <b/>
        <sz val="12"/>
        <rFont val="Arial"/>
        <family val="2"/>
      </rPr>
      <t>research.performance@cambridgeshire.gov.uk</t>
    </r>
  </si>
  <si>
    <t>Buddhist</t>
  </si>
  <si>
    <t>Ethnic group classifies people according to their own perceived ethnic group and cultural background (see Census table QS201EW).</t>
  </si>
  <si>
    <t xml:space="preserve">The data shows the country in which a person was born. Responses are assigned codes based on the National Statistics Country Classification (see Census table KS204EW). </t>
  </si>
  <si>
    <t>Religion was identified by the individual person. No determination was made about whether a person was a practicing member of a religion. Unlike other census questions, this question was voluntary and therefore where no answer was provided the response was categorised as 'Not stated' (see Census table KS209EW).</t>
  </si>
  <si>
    <t>Output areas (OA) are created for Census data, specifically for the output of census estimates. The OA is the lowest geographical level at which census estimates are provided. The minimum OA size was 40 resident households and 100 resident people but the recommended size was rather larger at 125 households. These size thresholds meant that unusually small wards and parishes were incorporated into larger OAs.</t>
  </si>
  <si>
    <t>St Neots</t>
  </si>
  <si>
    <t>Wisbech</t>
  </si>
  <si>
    <t>Ely</t>
  </si>
  <si>
    <t>Antarctica and Oceania</t>
  </si>
  <si>
    <t>All usual residents</t>
  </si>
  <si>
    <t>Different denominators</t>
  </si>
  <si>
    <t>economically active - unemployed</t>
  </si>
  <si>
    <t>District:</t>
  </si>
  <si>
    <t>economically active - working  (including students)</t>
  </si>
  <si>
    <t>economically active - working (including full time students)</t>
  </si>
  <si>
    <t xml:space="preserve">All non-christian religions </t>
  </si>
  <si>
    <t>British Overseas Territories</t>
  </si>
  <si>
    <t>Code</t>
  </si>
  <si>
    <t>Other EU: total</t>
  </si>
  <si>
    <t>Car or van (% of working population)</t>
  </si>
  <si>
    <t>Bicycle (% of working population)</t>
  </si>
  <si>
    <t>On foot (% of working population)</t>
  </si>
  <si>
    <t>Bus, Minibus or Coach (% of working population)</t>
  </si>
  <si>
    <t>Train (% of working population)</t>
  </si>
  <si>
    <t>Student</t>
  </si>
  <si>
    <t>Cambridgeshire County Council, Research and Performance Team, January 2014</t>
  </si>
  <si>
    <t>SH1306</t>
  </si>
  <si>
    <r>
      <rPr>
        <b/>
        <sz val="10"/>
        <color indexed="10"/>
        <rFont val="Arial"/>
        <family val="2"/>
      </rPr>
      <t>Click here</t>
    </r>
    <r>
      <rPr>
        <b/>
        <sz val="10"/>
        <rFont val="Arial"/>
        <family val="2"/>
      </rPr>
      <t xml:space="preserve"> to return to the topic homepage</t>
    </r>
  </si>
  <si>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 (see Census table KS401EW and KS105EW)</t>
  </si>
  <si>
    <t>General health is a self-assessment of a person’s general state of health. People were asked to assess whether their health was very good, good, fair, bad or very bad. This assessment is not based on a person's health over any specified period of time. (see Census table KS301EW)</t>
  </si>
  <si>
    <t>Market town areas</t>
  </si>
  <si>
    <t>Confidentiality and statistical disclosure control</t>
  </si>
  <si>
    <r>
      <t xml:space="preserve">The district profile sheet is formatted so that </t>
    </r>
    <r>
      <rPr>
        <b/>
        <sz val="12"/>
        <rFont val="Arial"/>
        <family val="2"/>
      </rPr>
      <t>district profiles</t>
    </r>
    <r>
      <rPr>
        <sz val="12"/>
        <rFont val="Arial"/>
        <family val="2"/>
      </rPr>
      <t xml:space="preserve"> can be printed onto two A4 pages.</t>
    </r>
  </si>
  <si>
    <t>RESEARCH AND PERFORMANCE TEAM 2011 CENSUS DATABASE (DISTRICTS)</t>
  </si>
  <si>
    <t>Welcome to the Research and Performance Team's 2011 Census database. This has been developed to provide easy access to Cambridgeshire 2011 Census data at the District level. County, ward, parish, market town and electoral division level databases are also available.</t>
  </si>
  <si>
    <t>District</t>
  </si>
  <si>
    <t>Welcome to the Research and Performance Team's 2011 Census database. This has been developed to provide easy access to Cambridgeshire 2011 Census data at the district level. County, ward, parish and electoral division level databases are also available.</t>
  </si>
  <si>
    <t xml:space="preserve">County: </t>
  </si>
  <si>
    <t>County %</t>
  </si>
  <si>
    <t>County %*</t>
  </si>
  <si>
    <t>Largest market town</t>
  </si>
  <si>
    <t>No market town</t>
  </si>
  <si>
    <t>Cambridge City</t>
  </si>
  <si>
    <r>
      <rPr>
        <b/>
        <sz val="11"/>
        <color indexed="10"/>
        <rFont val="Arial"/>
        <family val="2"/>
      </rPr>
      <t>Click here</t>
    </r>
    <r>
      <rPr>
        <b/>
        <sz val="11"/>
        <rFont val="Arial"/>
        <family val="2"/>
      </rPr>
      <t xml:space="preserve"> to return to home page and select another district</t>
    </r>
  </si>
  <si>
    <t xml:space="preserve">     2011 Census Profile (Cambridgeshire)</t>
  </si>
  <si>
    <t xml:space="preserve">      Largest market town:</t>
  </si>
  <si>
    <t>Population density (people per hectare)</t>
  </si>
  <si>
    <t>Other ethnic group - Total</t>
  </si>
  <si>
    <r>
      <t>Alternatively, to view data by district</t>
    </r>
    <r>
      <rPr>
        <b/>
        <sz val="12"/>
        <color indexed="10"/>
        <rFont val="Arial"/>
        <family val="2"/>
      </rPr>
      <t xml:space="preserve"> click here</t>
    </r>
  </si>
  <si>
    <r>
      <t xml:space="preserve">Alternatively, to view data by </t>
    </r>
    <r>
      <rPr>
        <b/>
        <i/>
        <sz val="14"/>
        <rFont val="Arial"/>
        <family val="2"/>
      </rPr>
      <t>topic</t>
    </r>
    <r>
      <rPr>
        <b/>
        <sz val="14"/>
        <rFont val="Arial"/>
        <family val="2"/>
      </rPr>
      <t xml:space="preserve"> </t>
    </r>
    <r>
      <rPr>
        <b/>
        <sz val="14"/>
        <color indexed="10"/>
        <rFont val="Arial"/>
        <family val="2"/>
      </rPr>
      <t>click here</t>
    </r>
  </si>
  <si>
    <r>
      <rPr>
        <b/>
        <sz val="10"/>
        <color indexed="10"/>
        <rFont val="Arial"/>
        <family val="2"/>
      </rPr>
      <t>Click here</t>
    </r>
    <r>
      <rPr>
        <b/>
        <sz val="10"/>
        <rFont val="Arial"/>
        <family val="2"/>
      </rPr>
      <t xml:space="preserve"> to return to district homepage</t>
    </r>
  </si>
  <si>
    <t>To view data for all districts on a single topic select your topic of choice from the table below.</t>
  </si>
  <si>
    <r>
      <rPr>
        <b/>
        <sz val="10"/>
        <color indexed="10"/>
        <rFont val="Arial"/>
        <family val="2"/>
      </rPr>
      <t>Click here</t>
    </r>
    <r>
      <rPr>
        <b/>
        <sz val="10"/>
        <rFont val="Arial"/>
        <family val="2"/>
      </rPr>
      <t xml:space="preserve"> to return to the district homepage</t>
    </r>
  </si>
  <si>
    <t>Note: The ONS census tables referred to are available at neighbourhood.statistics.gov.uk</t>
  </si>
  <si>
    <t>RESEARCH AND PERFORMANCE TEAM 2011 CENSUS DATABASE TOOL</t>
  </si>
  <si>
    <t>Select District:</t>
  </si>
  <si>
    <r>
      <t xml:space="preserve">To view data for a district </t>
    </r>
    <r>
      <rPr>
        <b/>
        <i/>
        <sz val="12"/>
        <rFont val="Arial"/>
        <family val="2"/>
      </rPr>
      <t xml:space="preserve">click </t>
    </r>
    <r>
      <rPr>
        <i/>
        <sz val="12"/>
        <rFont val="Arial"/>
        <family val="2"/>
      </rPr>
      <t xml:space="preserve">in the yellow box then </t>
    </r>
    <r>
      <rPr>
        <b/>
        <i/>
        <sz val="12"/>
        <rFont val="Arial"/>
        <family val="2"/>
      </rPr>
      <t>select</t>
    </r>
    <r>
      <rPr>
        <i/>
        <sz val="12"/>
        <rFont val="Arial"/>
        <family val="2"/>
      </rPr>
      <t xml:space="preserve"> your ward from the drop down list. Then press </t>
    </r>
    <r>
      <rPr>
        <b/>
        <i/>
        <sz val="12"/>
        <rFont val="Arial"/>
        <family val="2"/>
      </rPr>
      <t>enter</t>
    </r>
    <r>
      <rPr>
        <i/>
        <sz val="12"/>
        <rFont val="Arial"/>
        <family val="2"/>
      </rPr>
      <t>.</t>
    </r>
  </si>
  <si>
    <t xml:space="preserve">Market town areas are not official geographies used by the Office of National Statistics.  To produce these results the Research and Performance team have aggregated market town areas from official Output Area units.  Areas containing the built up areas of market towns were selected.  Therefore reproduction of this data by others may differ if they select different output areas in their selections.  Market town areas (hectares) were determined using MapInfo, a specialised mapping software. </t>
  </si>
  <si>
    <t xml:space="preserve">The requirements of the Code of Practice for Official Statistics to prevent identification individuals (or information about an individual), have been met by the ONS through statistical disclosure control.  There has been systematic 'perturbation' of the data ( by 'targeted record swapping'). It was agreed for the 2011 Census that small counts (zeros, ones and twos) could be included in publicly disseminated census tables provided that there was sufficient uncertainty about whether the small cell is a true value or had been systematically created. If you have more questions about this please see: </t>
  </si>
  <si>
    <t>ONS website: Protecting confidentiality with statistical disclosure control</t>
  </si>
  <si>
    <t>DATA BY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</si>
</sst>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General_)"/>
  </numFmts>
  <fonts count="43" x14ac:knownFonts="1">
    <font>
      <sz val="10"/>
      <name val="Arial"/>
    </font>
    <font>
      <sz val="10"/>
      <name val="Arial"/>
    </font>
    <font>
      <b/>
      <sz val="10"/>
      <name val="Arial"/>
      <family val="2"/>
    </font>
    <font>
      <u/>
      <sz val="10"/>
      <color indexed="12"/>
      <name val="Arial"/>
      <family val="2"/>
    </font>
    <font>
      <sz val="8"/>
      <name val="Arial"/>
      <family val="2"/>
    </font>
    <font>
      <b/>
      <sz val="10"/>
      <name val="Arial"/>
      <family val="2"/>
    </font>
    <font>
      <b/>
      <sz val="9"/>
      <name val="Helvetica"/>
      <family val="2"/>
    </font>
    <font>
      <sz val="10"/>
      <name val="Arial"/>
      <family val="2"/>
    </font>
    <font>
      <b/>
      <sz val="10"/>
      <name val="Arial"/>
      <family val="2"/>
    </font>
    <font>
      <b/>
      <sz val="10"/>
      <name val="Helvetica"/>
      <family val="2"/>
    </font>
    <font>
      <sz val="10"/>
      <color indexed="8"/>
      <name val="Arial"/>
      <family val="2"/>
    </font>
    <font>
      <sz val="10"/>
      <name val="Calibri"/>
      <family val="2"/>
    </font>
    <font>
      <b/>
      <sz val="10"/>
      <name val="Calibri"/>
      <family val="2"/>
    </font>
    <font>
      <sz val="8"/>
      <name val="Arial"/>
      <family val="2"/>
    </font>
    <font>
      <sz val="9"/>
      <name val="Calibri"/>
      <family val="2"/>
    </font>
    <font>
      <b/>
      <sz val="9"/>
      <name val="Calibri"/>
      <family val="2"/>
    </font>
    <font>
      <i/>
      <sz val="9"/>
      <name val="Calibri"/>
      <family val="2"/>
    </font>
    <font>
      <b/>
      <sz val="10"/>
      <color indexed="8"/>
      <name val="Arial"/>
      <family val="2"/>
    </font>
    <font>
      <sz val="10"/>
      <color indexed="8"/>
      <name val="Symbol"/>
      <family val="1"/>
      <charset val="2"/>
    </font>
    <font>
      <sz val="10"/>
      <color indexed="8"/>
      <name val="Times New Roman"/>
      <family val="1"/>
    </font>
    <font>
      <u/>
      <sz val="10"/>
      <color indexed="12"/>
      <name val="Arial"/>
      <family val="2"/>
    </font>
    <font>
      <b/>
      <sz val="12"/>
      <name val="Arial"/>
      <family val="2"/>
    </font>
    <font>
      <sz val="12"/>
      <name val="Arial"/>
      <family val="2"/>
    </font>
    <font>
      <b/>
      <sz val="14"/>
      <name val="Arial"/>
      <family val="2"/>
    </font>
    <font>
      <sz val="14"/>
      <name val="Arial"/>
      <family val="2"/>
    </font>
    <font>
      <b/>
      <sz val="11"/>
      <name val="Arial"/>
      <family val="2"/>
    </font>
    <font>
      <b/>
      <i/>
      <sz val="12"/>
      <color indexed="9"/>
      <name val="Arial"/>
      <family val="2"/>
    </font>
    <font>
      <b/>
      <sz val="15"/>
      <color indexed="9"/>
      <name val="Arial"/>
      <family val="2"/>
    </font>
    <font>
      <b/>
      <sz val="18"/>
      <name val="Arial"/>
      <family val="2"/>
    </font>
    <font>
      <b/>
      <sz val="12"/>
      <color indexed="12"/>
      <name val="Arial"/>
      <family val="2"/>
    </font>
    <font>
      <sz val="11"/>
      <name val="Arial"/>
      <family val="2"/>
    </font>
    <font>
      <b/>
      <sz val="12"/>
      <color indexed="8"/>
      <name val="Arial"/>
      <family val="2"/>
    </font>
    <font>
      <b/>
      <sz val="10"/>
      <color indexed="10"/>
      <name val="Arial"/>
      <family val="2"/>
    </font>
    <font>
      <b/>
      <sz val="12"/>
      <color indexed="10"/>
      <name val="Arial"/>
      <family val="2"/>
    </font>
    <font>
      <b/>
      <i/>
      <sz val="14"/>
      <name val="Arial"/>
      <family val="2"/>
    </font>
    <font>
      <b/>
      <i/>
      <sz val="12"/>
      <name val="Arial"/>
      <family val="2"/>
    </font>
    <font>
      <i/>
      <sz val="12"/>
      <name val="Arial"/>
      <family val="2"/>
    </font>
    <font>
      <b/>
      <sz val="12"/>
      <color indexed="9"/>
      <name val="Arial"/>
      <family val="2"/>
    </font>
    <font>
      <b/>
      <sz val="11"/>
      <color indexed="10"/>
      <name val="Arial"/>
      <family val="2"/>
    </font>
    <font>
      <b/>
      <sz val="11"/>
      <color indexed="9"/>
      <name val="Arial"/>
      <family val="2"/>
    </font>
    <font>
      <b/>
      <sz val="14"/>
      <color indexed="10"/>
      <name val="Arial"/>
      <family val="2"/>
    </font>
    <font>
      <b/>
      <sz val="12"/>
      <color rgb="FFFF0000"/>
      <name val="Arial"/>
      <family val="2"/>
    </font>
    <font>
      <sz val="11"/>
      <color rgb="FF003399"/>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62"/>
        <bgColor indexed="64"/>
      </patternFill>
    </fill>
    <fill>
      <patternFill patternType="solid">
        <fgColor rgb="FFFFFF99"/>
        <bgColor indexed="64"/>
      </patternFill>
    </fill>
  </fills>
  <borders count="2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398">
    <xf numFmtId="0" fontId="0" fillId="0" borderId="0" xfId="0"/>
    <xf numFmtId="1" fontId="0" fillId="0" borderId="0" xfId="0" applyNumberFormat="1"/>
    <xf numFmtId="2" fontId="0" fillId="0" borderId="0" xfId="0" applyNumberFormat="1"/>
    <xf numFmtId="0" fontId="8" fillId="0" borderId="0" xfId="0" applyFont="1" applyAlignment="1">
      <alignment horizontal="center" vertical="center" wrapText="1"/>
    </xf>
    <xf numFmtId="0" fontId="8" fillId="0" borderId="0" xfId="0" applyFont="1" applyAlignment="1">
      <alignment vertical="center"/>
    </xf>
    <xf numFmtId="0" fontId="7" fillId="0" borderId="0" xfId="0" applyFont="1"/>
    <xf numFmtId="0" fontId="1" fillId="0" borderId="0" xfId="0" applyFont="1"/>
    <xf numFmtId="0" fontId="0" fillId="0" borderId="0" xfId="0" applyFill="1"/>
    <xf numFmtId="0" fontId="8" fillId="0" borderId="0" xfId="0" applyFont="1" applyFill="1" applyAlignment="1">
      <alignment vertical="center"/>
    </xf>
    <xf numFmtId="0" fontId="8" fillId="0" borderId="0" xfId="0" applyFont="1" applyFill="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wrapText="1"/>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NumberFormat="1"/>
    <xf numFmtId="0" fontId="0" fillId="0" borderId="0" xfId="0" applyBorder="1"/>
    <xf numFmtId="0" fontId="8" fillId="0" borderId="0" xfId="0" applyFont="1" applyBorder="1" applyAlignment="1">
      <alignment vertical="center"/>
    </xf>
    <xf numFmtId="0" fontId="0" fillId="0" borderId="0" xfId="0" applyNumberFormat="1" applyFill="1" applyBorder="1"/>
    <xf numFmtId="0" fontId="0" fillId="0" borderId="0" xfId="0" applyAlignment="1">
      <alignment wrapText="1"/>
    </xf>
    <xf numFmtId="0" fontId="7" fillId="0" borderId="0" xfId="0" applyFont="1" applyFill="1"/>
    <xf numFmtId="1" fontId="10" fillId="0" borderId="0" xfId="0" applyNumberFormat="1" applyFont="1" applyFill="1" applyBorder="1" applyAlignment="1" applyProtection="1"/>
    <xf numFmtId="1" fontId="10" fillId="0" borderId="0" xfId="0" applyNumberFormat="1" applyFont="1" applyFill="1" applyBorder="1" applyAlignment="1" applyProtection="1">
      <alignment horizontal="left"/>
    </xf>
    <xf numFmtId="0" fontId="7" fillId="0" borderId="0" xfId="0" applyFont="1" applyAlignment="1">
      <alignment horizontal="right"/>
    </xf>
    <xf numFmtId="0" fontId="0" fillId="0" borderId="0" xfId="0" applyFill="1" applyBorder="1"/>
    <xf numFmtId="0" fontId="8" fillId="0" borderId="0" xfId="0" applyFont="1" applyBorder="1" applyAlignment="1">
      <alignment horizontal="center" vertical="center" wrapText="1"/>
    </xf>
    <xf numFmtId="0" fontId="14" fillId="0" borderId="0" xfId="0" applyFont="1"/>
    <xf numFmtId="0" fontId="15" fillId="0" borderId="1" xfId="0" applyFont="1" applyBorder="1"/>
    <xf numFmtId="0" fontId="15" fillId="0" borderId="2" xfId="0" applyFont="1" applyBorder="1"/>
    <xf numFmtId="0" fontId="15" fillId="0" borderId="0" xfId="0" applyFont="1" applyBorder="1"/>
    <xf numFmtId="0" fontId="15" fillId="0" borderId="3" xfId="0" applyFont="1" applyBorder="1"/>
    <xf numFmtId="0" fontId="14" fillId="0" borderId="4" xfId="0" applyFont="1" applyBorder="1" applyAlignment="1">
      <alignment horizontal="center"/>
    </xf>
    <xf numFmtId="0" fontId="14" fillId="0" borderId="0" xfId="0" applyFont="1" applyBorder="1" applyAlignment="1">
      <alignment horizontal="center"/>
    </xf>
    <xf numFmtId="0" fontId="14" fillId="0" borderId="3"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4" fillId="0" borderId="0" xfId="0" applyFont="1" applyBorder="1"/>
    <xf numFmtId="0" fontId="14" fillId="0" borderId="0" xfId="0" applyFont="1" applyBorder="1" applyAlignment="1">
      <alignment horizontal="left"/>
    </xf>
    <xf numFmtId="0" fontId="14" fillId="0" borderId="1" xfId="0" applyFont="1" applyBorder="1"/>
    <xf numFmtId="0" fontId="15" fillId="0" borderId="0" xfId="0" applyFont="1" applyBorder="1" applyAlignment="1">
      <alignment horizontal="center"/>
    </xf>
    <xf numFmtId="0" fontId="15" fillId="0" borderId="0" xfId="0" applyFont="1" applyBorder="1" applyAlignment="1"/>
    <xf numFmtId="0" fontId="14" fillId="0" borderId="0" xfId="0" applyFont="1" applyBorder="1" applyAlignment="1"/>
    <xf numFmtId="0" fontId="15" fillId="0" borderId="1" xfId="0" applyFont="1" applyBorder="1" applyAlignment="1">
      <alignment horizontal="left" vertical="top" wrapText="1"/>
    </xf>
    <xf numFmtId="0" fontId="14" fillId="0" borderId="2" xfId="0" applyFont="1" applyBorder="1"/>
    <xf numFmtId="0" fontId="14" fillId="0" borderId="3" xfId="0" applyFont="1" applyBorder="1"/>
    <xf numFmtId="164" fontId="14" fillId="0" borderId="4" xfId="0" applyNumberFormat="1" applyFont="1" applyBorder="1" applyAlignment="1">
      <alignment horizontal="center"/>
    </xf>
    <xf numFmtId="164" fontId="14" fillId="0" borderId="5" xfId="0" applyNumberFormat="1" applyFont="1" applyBorder="1" applyAlignment="1">
      <alignment horizontal="center"/>
    </xf>
    <xf numFmtId="0" fontId="14" fillId="0" borderId="0" xfId="0" applyFont="1" applyBorder="1" applyAlignment="1">
      <alignment vertical="top" wrapText="1"/>
    </xf>
    <xf numFmtId="164" fontId="14" fillId="0" borderId="0" xfId="0" applyNumberFormat="1" applyFont="1" applyBorder="1" applyAlignment="1">
      <alignment horizontal="center"/>
    </xf>
    <xf numFmtId="164" fontId="15" fillId="0" borderId="4" xfId="0" applyNumberFormat="1" applyFont="1" applyBorder="1" applyAlignment="1">
      <alignment horizontal="center"/>
    </xf>
    <xf numFmtId="2" fontId="14" fillId="0" borderId="0" xfId="0" applyNumberFormat="1" applyFont="1" applyBorder="1"/>
    <xf numFmtId="0" fontId="11" fillId="0" borderId="0" xfId="0" applyFont="1" applyBorder="1" applyAlignment="1">
      <alignment horizontal="left"/>
    </xf>
    <xf numFmtId="0" fontId="15" fillId="0" borderId="0" xfId="0" applyFont="1" applyFill="1" applyBorder="1" applyAlignment="1">
      <alignment horizontal="center"/>
    </xf>
    <xf numFmtId="164" fontId="14" fillId="0" borderId="3" xfId="0" applyNumberFormat="1" applyFont="1" applyBorder="1" applyAlignment="1">
      <alignment horizontal="center"/>
    </xf>
    <xf numFmtId="0" fontId="14" fillId="0" borderId="5" xfId="0" applyFont="1" applyBorder="1"/>
    <xf numFmtId="0" fontId="15" fillId="0" borderId="4" xfId="0" applyFont="1" applyBorder="1"/>
    <xf numFmtId="0" fontId="15" fillId="0" borderId="1" xfId="0" applyFont="1" applyFill="1" applyBorder="1" applyAlignment="1">
      <alignment horizontal="center"/>
    </xf>
    <xf numFmtId="164" fontId="15" fillId="0" borderId="0" xfId="0" applyNumberFormat="1" applyFont="1" applyBorder="1" applyAlignment="1">
      <alignment horizontal="center"/>
    </xf>
    <xf numFmtId="2" fontId="14" fillId="0" borderId="0" xfId="0" applyNumberFormat="1" applyFont="1" applyBorder="1" applyAlignment="1">
      <alignment horizontal="center"/>
    </xf>
    <xf numFmtId="0" fontId="15" fillId="0" borderId="1" xfId="0" applyFont="1" applyBorder="1" applyAlignment="1"/>
    <xf numFmtId="0" fontId="0" fillId="0" borderId="0" xfId="0" applyBorder="1" applyAlignment="1">
      <alignment wrapText="1"/>
    </xf>
    <xf numFmtId="0" fontId="16" fillId="0" borderId="2" xfId="0" applyFont="1" applyBorder="1"/>
    <xf numFmtId="164" fontId="0" fillId="0" borderId="0" xfId="0" applyNumberFormat="1" applyBorder="1"/>
    <xf numFmtId="0" fontId="14" fillId="0" borderId="4" xfId="0" applyFont="1" applyBorder="1"/>
    <xf numFmtId="0" fontId="11" fillId="0" borderId="0" xfId="0" applyFont="1" applyBorder="1" applyAlignment="1"/>
    <xf numFmtId="164" fontId="0" fillId="0" borderId="0" xfId="0" applyNumberFormat="1"/>
    <xf numFmtId="2" fontId="14" fillId="0" borderId="0" xfId="0" applyNumberFormat="1" applyFont="1" applyBorder="1" applyAlignment="1"/>
    <xf numFmtId="0" fontId="15" fillId="0" borderId="0" xfId="0" applyFont="1" applyFill="1" applyBorder="1" applyAlignment="1"/>
    <xf numFmtId="0" fontId="15" fillId="0" borderId="4" xfId="0" applyFont="1" applyBorder="1" applyAlignment="1">
      <alignment horizontal="center"/>
    </xf>
    <xf numFmtId="0" fontId="14" fillId="0" borderId="0" xfId="0" applyFont="1" applyFill="1"/>
    <xf numFmtId="0" fontId="15" fillId="0" borderId="1" xfId="0" applyFont="1" applyBorder="1" applyAlignment="1">
      <alignment horizontal="left"/>
    </xf>
    <xf numFmtId="0" fontId="15" fillId="0" borderId="6" xfId="0" applyFont="1" applyFill="1" applyBorder="1" applyAlignment="1">
      <alignment horizontal="center"/>
    </xf>
    <xf numFmtId="0" fontId="14" fillId="0" borderId="7" xfId="0" applyFont="1" applyFill="1" applyBorder="1"/>
    <xf numFmtId="0" fontId="14" fillId="0" borderId="6" xfId="0" applyFont="1" applyFill="1" applyBorder="1"/>
    <xf numFmtId="0" fontId="10" fillId="0" borderId="0" xfId="0" applyFont="1" applyFill="1"/>
    <xf numFmtId="0" fontId="1" fillId="0" borderId="0" xfId="0" applyFont="1" applyFill="1"/>
    <xf numFmtId="0" fontId="10" fillId="0" borderId="0" xfId="0" applyFont="1"/>
    <xf numFmtId="0" fontId="18" fillId="0" borderId="0" xfId="0" applyFont="1" applyAlignment="1">
      <alignment horizontal="left" indent="4"/>
    </xf>
    <xf numFmtId="0" fontId="20" fillId="0" borderId="0" xfId="2" applyFont="1" applyAlignment="1" applyProtection="1"/>
    <xf numFmtId="0" fontId="17" fillId="0" borderId="0" xfId="0" applyFont="1"/>
    <xf numFmtId="0" fontId="10" fillId="2" borderId="0" xfId="0" applyFont="1" applyFill="1"/>
    <xf numFmtId="0" fontId="2" fillId="0" borderId="0" xfId="0" applyFont="1"/>
    <xf numFmtId="0" fontId="3" fillId="0" borderId="0" xfId="2" applyAlignment="1" applyProtection="1">
      <alignment horizontal="left"/>
    </xf>
    <xf numFmtId="0" fontId="3" fillId="0" borderId="0" xfId="2" applyAlignment="1" applyProtection="1"/>
    <xf numFmtId="17" fontId="1" fillId="0" borderId="0" xfId="0" applyNumberFormat="1" applyFont="1" applyAlignment="1">
      <alignment horizontal="left"/>
    </xf>
    <xf numFmtId="0" fontId="11" fillId="0" borderId="0" xfId="0" applyFont="1" applyBorder="1" applyAlignment="1">
      <alignment horizontal="center"/>
    </xf>
    <xf numFmtId="0" fontId="16" fillId="0" borderId="0" xfId="0" applyFont="1" applyFill="1"/>
    <xf numFmtId="0" fontId="15" fillId="0" borderId="0" xfId="0" applyFont="1" applyFill="1" applyAlignment="1">
      <alignment wrapText="1"/>
    </xf>
    <xf numFmtId="0" fontId="15" fillId="0" borderId="2" xfId="0" applyFont="1" applyBorder="1" applyAlignment="1"/>
    <xf numFmtId="2" fontId="14" fillId="0" borderId="3" xfId="0" applyNumberFormat="1" applyFont="1" applyBorder="1" applyAlignment="1">
      <alignment horizontal="center"/>
    </xf>
    <xf numFmtId="0" fontId="14" fillId="0" borderId="0" xfId="0" applyFont="1" applyFill="1" applyAlignment="1">
      <alignment wrapText="1"/>
    </xf>
    <xf numFmtId="0" fontId="14" fillId="0" borderId="0" xfId="0" applyFont="1" applyFill="1" applyBorder="1"/>
    <xf numFmtId="0" fontId="14" fillId="0" borderId="3" xfId="0" applyFont="1" applyFill="1" applyBorder="1"/>
    <xf numFmtId="0" fontId="15" fillId="0" borderId="0" xfId="0" applyFont="1" applyBorder="1" applyAlignment="1">
      <alignment vertical="top" wrapText="1"/>
    </xf>
    <xf numFmtId="0" fontId="15" fillId="0" borderId="0" xfId="0" applyFont="1" applyBorder="1" applyAlignment="1">
      <alignment wrapText="1"/>
    </xf>
    <xf numFmtId="0" fontId="7" fillId="2" borderId="0" xfId="0" applyFont="1" applyFill="1" applyAlignment="1">
      <alignment horizontal="center"/>
    </xf>
    <xf numFmtId="0" fontId="7" fillId="2" borderId="0" xfId="0" applyFont="1" applyFill="1"/>
    <xf numFmtId="0" fontId="7" fillId="2" borderId="0" xfId="0" applyFont="1" applyFill="1" applyBorder="1" applyAlignment="1"/>
    <xf numFmtId="0" fontId="22" fillId="2" borderId="0" xfId="0" applyFont="1" applyFill="1" applyBorder="1" applyAlignment="1">
      <alignment horizontal="left" vertical="center" wrapText="1"/>
    </xf>
    <xf numFmtId="0" fontId="7" fillId="2" borderId="0" xfId="0" applyFont="1" applyFill="1" applyBorder="1"/>
    <xf numFmtId="0" fontId="24" fillId="2" borderId="0" xfId="0" applyFont="1" applyFill="1" applyBorder="1"/>
    <xf numFmtId="0" fontId="24" fillId="2" borderId="0" xfId="0" applyFont="1" applyFill="1"/>
    <xf numFmtId="0" fontId="23" fillId="3" borderId="7" xfId="0" applyFont="1" applyFill="1" applyBorder="1"/>
    <xf numFmtId="0" fontId="22" fillId="3" borderId="6"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7" fillId="3" borderId="1" xfId="0" applyFont="1" applyFill="1" applyBorder="1"/>
    <xf numFmtId="0" fontId="7" fillId="3" borderId="0" xfId="0" applyFont="1" applyFill="1" applyBorder="1"/>
    <xf numFmtId="0" fontId="24" fillId="3" borderId="0" xfId="0" applyFont="1" applyFill="1" applyBorder="1"/>
    <xf numFmtId="0" fontId="7" fillId="3" borderId="4" xfId="0" applyFont="1" applyFill="1" applyBorder="1"/>
    <xf numFmtId="0" fontId="23" fillId="3" borderId="1" xfId="0" applyFont="1" applyFill="1" applyBorder="1" applyAlignment="1">
      <alignment horizontal="right"/>
    </xf>
    <xf numFmtId="0" fontId="7" fillId="3" borderId="2" xfId="0" applyFont="1" applyFill="1" applyBorder="1"/>
    <xf numFmtId="0" fontId="7" fillId="3" borderId="3" xfId="0" applyFont="1" applyFill="1" applyBorder="1"/>
    <xf numFmtId="0" fontId="7" fillId="3" borderId="5" xfId="0" applyFont="1" applyFill="1" applyBorder="1"/>
    <xf numFmtId="0" fontId="7" fillId="3" borderId="6" xfId="0" applyFont="1" applyFill="1" applyBorder="1"/>
    <xf numFmtId="0" fontId="24" fillId="3" borderId="6" xfId="0" applyFont="1" applyFill="1" applyBorder="1"/>
    <xf numFmtId="0" fontId="7" fillId="3" borderId="8" xfId="0" applyFont="1" applyFill="1" applyBorder="1"/>
    <xf numFmtId="0" fontId="23" fillId="3" borderId="1" xfId="0" applyFont="1" applyFill="1" applyBorder="1" applyAlignment="1"/>
    <xf numFmtId="0" fontId="24" fillId="3" borderId="3" xfId="0" applyFont="1" applyFill="1" applyBorder="1"/>
    <xf numFmtId="0" fontId="14" fillId="2" borderId="0" xfId="0" applyFont="1" applyFill="1"/>
    <xf numFmtId="0" fontId="15" fillId="2" borderId="0" xfId="0" applyFont="1" applyFill="1" applyBorder="1" applyAlignment="1"/>
    <xf numFmtId="0" fontId="7" fillId="0" borderId="0" xfId="0" applyFont="1" applyBorder="1"/>
    <xf numFmtId="1" fontId="10" fillId="0" borderId="0" xfId="0" applyNumberFormat="1" applyFont="1" applyFill="1" applyBorder="1" applyAlignment="1" applyProtection="1">
      <alignment horizontal="right"/>
    </xf>
    <xf numFmtId="0" fontId="7" fillId="0" borderId="0" xfId="0" applyFont="1" applyFill="1" applyBorder="1"/>
    <xf numFmtId="166" fontId="10" fillId="0" borderId="0" xfId="0" applyNumberFormat="1" applyFont="1" applyFill="1" applyBorder="1" applyAlignment="1" applyProtection="1"/>
    <xf numFmtId="164" fontId="7" fillId="0" borderId="0" xfId="0" applyNumberFormat="1" applyFont="1"/>
    <xf numFmtId="166" fontId="10" fillId="0" borderId="0" xfId="0" applyNumberFormat="1" applyFont="1" applyFill="1" applyBorder="1" applyAlignment="1" applyProtection="1">
      <alignment horizontal="left"/>
    </xf>
    <xf numFmtId="1" fontId="0" fillId="0" borderId="0" xfId="0" applyNumberFormat="1" applyFill="1"/>
    <xf numFmtId="1" fontId="7" fillId="0" borderId="0" xfId="0" applyNumberFormat="1" applyFont="1" applyFill="1" applyBorder="1"/>
    <xf numFmtId="3" fontId="10" fillId="0" borderId="0" xfId="0" applyNumberFormat="1" applyFont="1" applyFill="1"/>
    <xf numFmtId="3" fontId="7" fillId="0" borderId="0" xfId="0" applyNumberFormat="1" applyFont="1" applyFill="1"/>
    <xf numFmtId="1" fontId="10" fillId="0" borderId="0" xfId="0" applyNumberFormat="1" applyFont="1" applyFill="1"/>
    <xf numFmtId="164" fontId="0" fillId="0" borderId="0" xfId="0" applyNumberFormat="1" applyFill="1"/>
    <xf numFmtId="164" fontId="7" fillId="0" borderId="0" xfId="0" applyNumberFormat="1" applyFont="1" applyFill="1"/>
    <xf numFmtId="1" fontId="7" fillId="0" borderId="0" xfId="0" applyNumberFormat="1" applyFont="1" applyFill="1"/>
    <xf numFmtId="0" fontId="14" fillId="0" borderId="7" xfId="0" applyFont="1" applyBorder="1"/>
    <xf numFmtId="0" fontId="14" fillId="0" borderId="6" xfId="0" applyFont="1" applyBorder="1"/>
    <xf numFmtId="0" fontId="15" fillId="0" borderId="6" xfId="0" applyFont="1" applyBorder="1"/>
    <xf numFmtId="0" fontId="15" fillId="0" borderId="6" xfId="0" applyFont="1" applyBorder="1" applyAlignment="1">
      <alignment horizontal="center"/>
    </xf>
    <xf numFmtId="0" fontId="15" fillId="0" borderId="8" xfId="0" applyFont="1" applyBorder="1"/>
    <xf numFmtId="0" fontId="7" fillId="0" borderId="0" xfId="0" applyFont="1" applyFill="1" applyBorder="1" applyAlignment="1">
      <alignment horizontal="right"/>
    </xf>
    <xf numFmtId="0" fontId="14" fillId="0" borderId="1" xfId="0" applyFont="1" applyFill="1" applyBorder="1"/>
    <xf numFmtId="164" fontId="14" fillId="0" borderId="0" xfId="0" applyNumberFormat="1" applyFont="1" applyFill="1" applyBorder="1" applyAlignment="1">
      <alignment horizontal="center"/>
    </xf>
    <xf numFmtId="164" fontId="14" fillId="0" borderId="4" xfId="0" applyNumberFormat="1" applyFont="1" applyFill="1" applyBorder="1" applyAlignment="1">
      <alignment horizontal="center"/>
    </xf>
    <xf numFmtId="1" fontId="1" fillId="0" borderId="0" xfId="0" applyNumberFormat="1" applyFont="1"/>
    <xf numFmtId="1" fontId="1" fillId="0" borderId="0" xfId="0" applyNumberFormat="1" applyFont="1" applyAlignment="1">
      <alignment horizontal="right"/>
    </xf>
    <xf numFmtId="1" fontId="1" fillId="0" borderId="0" xfId="0" applyNumberFormat="1" applyFont="1" applyFill="1"/>
    <xf numFmtId="164" fontId="1" fillId="0" borderId="0" xfId="0" applyNumberFormat="1" applyFont="1"/>
    <xf numFmtId="1" fontId="1" fillId="0" borderId="0" xfId="0" applyNumberFormat="1" applyFont="1" applyAlignment="1" applyProtection="1">
      <alignment horizontal="right"/>
      <protection locked="0"/>
    </xf>
    <xf numFmtId="0" fontId="1" fillId="0" borderId="0" xfId="0" applyFont="1" applyAlignment="1">
      <alignment horizontal="right"/>
    </xf>
    <xf numFmtId="164" fontId="1" fillId="0" borderId="0" xfId="0" applyNumberFormat="1" applyFont="1" applyAlignment="1">
      <alignment horizontal="right"/>
    </xf>
    <xf numFmtId="164" fontId="10" fillId="0" borderId="0" xfId="0" applyNumberFormat="1" applyFont="1"/>
    <xf numFmtId="1" fontId="10" fillId="0" borderId="0" xfId="0" applyNumberFormat="1" applyFont="1"/>
    <xf numFmtId="1" fontId="7" fillId="0" borderId="0" xfId="0" applyNumberFormat="1" applyFont="1" applyBorder="1" applyAlignment="1">
      <alignment horizontal="right"/>
    </xf>
    <xf numFmtId="164" fontId="7" fillId="0" borderId="0" xfId="0" applyNumberFormat="1" applyFont="1" applyAlignment="1">
      <alignment horizontal="right"/>
    </xf>
    <xf numFmtId="1" fontId="10" fillId="0" borderId="0" xfId="0" applyNumberFormat="1" applyFont="1" applyAlignment="1">
      <alignment horizontal="right"/>
    </xf>
    <xf numFmtId="1" fontId="7" fillId="0" borderId="0" xfId="0" applyNumberFormat="1" applyFont="1" applyAlignment="1">
      <alignment horizontal="right"/>
    </xf>
    <xf numFmtId="164" fontId="10" fillId="0" borderId="0" xfId="0" applyNumberFormat="1" applyFont="1" applyFill="1"/>
    <xf numFmtId="164" fontId="7" fillId="0" borderId="0" xfId="0" applyNumberFormat="1" applyFont="1" applyFill="1" applyBorder="1"/>
    <xf numFmtId="164" fontId="0" fillId="0" borderId="0" xfId="0" applyNumberFormat="1" applyFill="1" applyBorder="1"/>
    <xf numFmtId="0" fontId="22" fillId="3" borderId="0" xfId="0" applyFont="1" applyFill="1" applyBorder="1" applyAlignment="1">
      <alignment horizontal="left" vertical="center" wrapText="1"/>
    </xf>
    <xf numFmtId="0" fontId="22" fillId="3" borderId="4" xfId="0" applyFont="1" applyFill="1" applyBorder="1" applyAlignment="1">
      <alignment horizontal="left" vertical="center" wrapText="1"/>
    </xf>
    <xf numFmtId="1" fontId="1" fillId="0" borderId="0" xfId="0" applyNumberFormat="1" applyFont="1" applyFill="1" applyAlignment="1">
      <alignment horizontal="right"/>
    </xf>
    <xf numFmtId="164" fontId="1" fillId="0" borderId="0" xfId="0" applyNumberFormat="1" applyFont="1" applyFill="1"/>
    <xf numFmtId="0" fontId="27" fillId="2" borderId="0" xfId="0" applyFont="1" applyFill="1" applyAlignment="1">
      <alignment horizontal="center" vertical="center"/>
    </xf>
    <xf numFmtId="0" fontId="23" fillId="3" borderId="1" xfId="0" applyFont="1" applyFill="1" applyBorder="1" applyAlignment="1">
      <alignment horizontal="left"/>
    </xf>
    <xf numFmtId="0" fontId="23" fillId="3" borderId="0" xfId="0" applyFont="1" applyFill="1" applyBorder="1" applyAlignment="1">
      <alignment horizontal="left"/>
    </xf>
    <xf numFmtId="0" fontId="25" fillId="2" borderId="0" xfId="2" applyFont="1" applyFill="1" applyBorder="1" applyAlignment="1" applyProtection="1">
      <alignment horizontal="center"/>
    </xf>
    <xf numFmtId="0" fontId="23" fillId="3" borderId="1" xfId="0" applyFont="1" applyFill="1" applyBorder="1"/>
    <xf numFmtId="0" fontId="25" fillId="3" borderId="4" xfId="2" applyFont="1" applyFill="1" applyBorder="1" applyAlignment="1" applyProtection="1"/>
    <xf numFmtId="0" fontId="30" fillId="3" borderId="4" xfId="0" applyFont="1" applyFill="1" applyBorder="1"/>
    <xf numFmtId="0" fontId="31" fillId="0" borderId="0" xfId="0" applyFont="1" applyFill="1"/>
    <xf numFmtId="0" fontId="2" fillId="3" borderId="9" xfId="0" applyFont="1" applyFill="1" applyBorder="1" applyAlignment="1">
      <alignment vertical="center"/>
    </xf>
    <xf numFmtId="1" fontId="2" fillId="3" borderId="9" xfId="0" applyNumberFormat="1" applyFont="1" applyFill="1" applyBorder="1" applyAlignment="1">
      <alignment vertical="center"/>
    </xf>
    <xf numFmtId="164" fontId="2" fillId="3" borderId="9" xfId="0" applyNumberFormat="1" applyFont="1" applyFill="1" applyBorder="1" applyAlignment="1">
      <alignment vertical="center"/>
    </xf>
    <xf numFmtId="0" fontId="2"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9" fillId="3" borderId="9" xfId="0"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 fontId="9" fillId="3" borderId="9"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164" fontId="2" fillId="3" borderId="10"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164" fontId="8" fillId="3" borderId="9" xfId="0" applyNumberFormat="1" applyFont="1" applyFill="1" applyBorder="1" applyAlignment="1">
      <alignment horizontal="center" vertical="center" wrapText="1"/>
    </xf>
    <xf numFmtId="0" fontId="2" fillId="3" borderId="9" xfId="0" applyFont="1" applyFill="1" applyBorder="1" applyAlignment="1">
      <alignment vertical="top" wrapText="1"/>
    </xf>
    <xf numFmtId="164" fontId="2" fillId="3" borderId="9" xfId="0" applyNumberFormat="1" applyFont="1" applyFill="1" applyBorder="1" applyAlignment="1">
      <alignment vertical="top" wrapText="1"/>
    </xf>
    <xf numFmtId="0" fontId="32" fillId="4" borderId="13" xfId="2" applyFont="1" applyFill="1" applyBorder="1" applyAlignment="1" applyProtection="1">
      <alignment horizontal="center" wrapText="1"/>
    </xf>
    <xf numFmtId="0" fontId="0" fillId="0" borderId="1" xfId="0" applyBorder="1" applyAlignment="1">
      <alignment vertical="top"/>
    </xf>
    <xf numFmtId="0" fontId="0" fillId="0" borderId="1" xfId="0" applyFill="1" applyBorder="1" applyAlignment="1">
      <alignment vertical="top"/>
    </xf>
    <xf numFmtId="0" fontId="0" fillId="0" borderId="4" xfId="0" applyBorder="1" applyAlignment="1">
      <alignment vertical="top" wrapText="1"/>
    </xf>
    <xf numFmtId="0" fontId="7" fillId="0" borderId="4" xfId="0" applyFont="1" applyBorder="1" applyAlignment="1">
      <alignment vertical="top" wrapText="1"/>
    </xf>
    <xf numFmtId="0" fontId="0" fillId="0" borderId="4" xfId="0" applyNumberFormat="1" applyBorder="1" applyAlignment="1">
      <alignment vertical="top" wrapText="1"/>
    </xf>
    <xf numFmtId="0" fontId="10" fillId="0" borderId="4" xfId="0" applyFont="1" applyBorder="1" applyAlignment="1">
      <alignment vertical="top" wrapText="1"/>
    </xf>
    <xf numFmtId="3" fontId="0" fillId="0" borderId="0" xfId="0" applyNumberFormat="1" applyAlignment="1">
      <alignment horizontal="right" vertical="center"/>
    </xf>
    <xf numFmtId="165" fontId="0" fillId="0" borderId="0" xfId="0" applyNumberFormat="1" applyAlignment="1">
      <alignment horizontal="right" vertical="center"/>
    </xf>
    <xf numFmtId="0" fontId="25" fillId="6" borderId="13" xfId="2" applyFont="1" applyFill="1" applyBorder="1" applyAlignment="1" applyProtection="1">
      <alignment horizontal="center"/>
    </xf>
    <xf numFmtId="0" fontId="41" fillId="4" borderId="13" xfId="2" applyFont="1" applyFill="1" applyBorder="1" applyAlignment="1" applyProtection="1">
      <alignment horizontal="center" vertical="center"/>
    </xf>
    <xf numFmtId="0" fontId="7" fillId="0" borderId="0" xfId="0" applyFont="1" applyFill="1" applyAlignment="1"/>
    <xf numFmtId="0" fontId="21" fillId="4" borderId="13" xfId="2" applyFont="1" applyFill="1" applyBorder="1" applyAlignment="1" applyProtection="1"/>
    <xf numFmtId="0" fontId="22" fillId="3" borderId="0" xfId="0" applyFont="1" applyFill="1" applyBorder="1"/>
    <xf numFmtId="0" fontId="21" fillId="3" borderId="0" xfId="2" applyFont="1" applyFill="1" applyBorder="1" applyAlignment="1" applyProtection="1"/>
    <xf numFmtId="0" fontId="22" fillId="3" borderId="0" xfId="0" applyFont="1" applyFill="1"/>
    <xf numFmtId="0" fontId="21" fillId="6" borderId="13" xfId="2" applyFont="1" applyFill="1" applyBorder="1" applyAlignment="1" applyProtection="1">
      <alignment horizontal="center"/>
    </xf>
    <xf numFmtId="0" fontId="22" fillId="2" borderId="0" xfId="0" applyFont="1" applyFill="1"/>
    <xf numFmtId="2" fontId="2" fillId="3" borderId="14" xfId="0" applyNumberFormat="1" applyFont="1" applyFill="1" applyBorder="1" applyAlignment="1">
      <alignment horizontal="center" vertical="center" wrapText="1"/>
    </xf>
    <xf numFmtId="0" fontId="1" fillId="0" borderId="0" xfId="0" applyFont="1" applyFill="1" applyAlignment="1">
      <alignment horizontal="right"/>
    </xf>
    <xf numFmtId="1" fontId="7" fillId="0" borderId="0" xfId="0" applyNumberFormat="1" applyFont="1" applyFill="1" applyBorder="1" applyAlignment="1">
      <alignment horizontal="left"/>
    </xf>
    <xf numFmtId="0" fontId="1" fillId="0" borderId="0" xfId="0" applyFont="1" applyAlignment="1">
      <alignment horizontal="left"/>
    </xf>
    <xf numFmtId="0" fontId="7" fillId="0" borderId="0" xfId="0" applyFont="1" applyAlignment="1">
      <alignment horizontal="left"/>
    </xf>
    <xf numFmtId="0" fontId="7" fillId="0" borderId="1" xfId="0" applyFont="1" applyBorder="1" applyAlignment="1">
      <alignment vertical="top"/>
    </xf>
    <xf numFmtId="0" fontId="7" fillId="0" borderId="4" xfId="0" applyFont="1" applyBorder="1" applyAlignment="1">
      <alignment wrapText="1"/>
    </xf>
    <xf numFmtId="0" fontId="7" fillId="0" borderId="1" xfId="0" applyFont="1" applyBorder="1" applyAlignment="1">
      <alignment horizontal="left" vertical="top" wrapText="1"/>
    </xf>
    <xf numFmtId="0" fontId="3" fillId="0" borderId="4" xfId="2" applyBorder="1" applyAlignment="1" applyProtection="1">
      <alignment wrapText="1"/>
    </xf>
    <xf numFmtId="2" fontId="7" fillId="0" borderId="0" xfId="0" applyNumberFormat="1" applyFont="1"/>
    <xf numFmtId="0" fontId="15" fillId="0" borderId="0" xfId="0" applyFont="1" applyBorder="1" applyAlignment="1">
      <alignment horizontal="left"/>
    </xf>
    <xf numFmtId="2" fontId="7" fillId="0" borderId="0" xfId="0" applyNumberFormat="1" applyFont="1" applyFill="1"/>
    <xf numFmtId="164" fontId="0" fillId="0" borderId="0" xfId="0" applyNumberFormat="1" applyAlignment="1">
      <alignment horizontal="right" vertical="center"/>
    </xf>
    <xf numFmtId="0" fontId="15" fillId="0" borderId="8" xfId="0" applyFont="1" applyBorder="1" applyAlignment="1">
      <alignment horizontal="left"/>
    </xf>
    <xf numFmtId="0" fontId="15" fillId="0" borderId="0" xfId="0" applyFont="1" applyFill="1" applyBorder="1" applyAlignment="1">
      <alignment horizontal="left"/>
    </xf>
    <xf numFmtId="0" fontId="42" fillId="5" borderId="0" xfId="0" applyFont="1" applyFill="1" applyBorder="1" applyAlignment="1">
      <alignment vertical="center" wrapText="1"/>
    </xf>
    <xf numFmtId="0" fontId="0" fillId="0" borderId="0" xfId="0" applyAlignment="1"/>
    <xf numFmtId="165" fontId="14" fillId="0" borderId="0" xfId="0" applyNumberFormat="1" applyFont="1" applyBorder="1" applyAlignment="1">
      <alignment horizontal="center"/>
    </xf>
    <xf numFmtId="165" fontId="14" fillId="0" borderId="4" xfId="0" applyNumberFormat="1" applyFont="1" applyBorder="1" applyAlignment="1">
      <alignment horizontal="center"/>
    </xf>
    <xf numFmtId="165" fontId="14" fillId="0" borderId="3" xfId="0" applyNumberFormat="1" applyFont="1" applyBorder="1" applyAlignment="1">
      <alignment horizontal="center"/>
    </xf>
    <xf numFmtId="165" fontId="14" fillId="0" borderId="5" xfId="0" applyNumberFormat="1" applyFont="1" applyBorder="1" applyAlignment="1">
      <alignment horizontal="center"/>
    </xf>
    <xf numFmtId="3" fontId="14" fillId="0" borderId="0" xfId="0" applyNumberFormat="1" applyFont="1" applyBorder="1" applyAlignment="1">
      <alignment horizontal="center"/>
    </xf>
    <xf numFmtId="3" fontId="14" fillId="0" borderId="3" xfId="0" applyNumberFormat="1" applyFont="1" applyBorder="1" applyAlignment="1">
      <alignment horizontal="center"/>
    </xf>
    <xf numFmtId="3" fontId="14" fillId="0" borderId="4" xfId="1" applyNumberFormat="1" applyFont="1" applyBorder="1" applyAlignment="1">
      <alignment horizontal="center"/>
    </xf>
    <xf numFmtId="165" fontId="14" fillId="0" borderId="4" xfId="1" applyNumberFormat="1" applyFont="1" applyBorder="1" applyAlignment="1">
      <alignment horizontal="center"/>
    </xf>
    <xf numFmtId="165" fontId="14" fillId="0" borderId="5" xfId="1" applyNumberFormat="1" applyFont="1" applyBorder="1" applyAlignment="1">
      <alignment horizontal="center"/>
    </xf>
    <xf numFmtId="3" fontId="15" fillId="0" borderId="0" xfId="0" applyNumberFormat="1" applyFont="1" applyBorder="1" applyAlignment="1">
      <alignment horizontal="center"/>
    </xf>
    <xf numFmtId="3" fontId="14" fillId="0" borderId="0" xfId="0" applyNumberFormat="1" applyFont="1" applyBorder="1" applyAlignment="1"/>
    <xf numFmtId="1" fontId="15" fillId="0" borderId="0" xfId="0" applyNumberFormat="1" applyFont="1" applyBorder="1" applyAlignment="1">
      <alignment horizontal="center"/>
    </xf>
    <xf numFmtId="1" fontId="15" fillId="0" borderId="4" xfId="0" applyNumberFormat="1" applyFont="1" applyBorder="1" applyAlignment="1">
      <alignment horizontal="center"/>
    </xf>
    <xf numFmtId="3" fontId="14" fillId="0" borderId="0" xfId="0" applyNumberFormat="1" applyFont="1" applyFill="1" applyBorder="1" applyAlignment="1">
      <alignment horizontal="center"/>
    </xf>
    <xf numFmtId="3" fontId="7" fillId="0" borderId="0" xfId="0" applyNumberFormat="1" applyFont="1" applyFill="1" applyBorder="1" applyAlignment="1">
      <alignment horizontal="right" vertical="center"/>
    </xf>
    <xf numFmtId="3" fontId="7" fillId="0" borderId="0" xfId="0" applyNumberFormat="1" applyFont="1"/>
    <xf numFmtId="3" fontId="0" fillId="0" borderId="0" xfId="0" applyNumberFormat="1" applyFill="1"/>
    <xf numFmtId="3" fontId="0" fillId="0" borderId="0" xfId="0" applyNumberFormat="1"/>
    <xf numFmtId="3" fontId="7" fillId="0" borderId="0" xfId="0" applyNumberFormat="1" applyFont="1" applyFill="1" applyBorder="1"/>
    <xf numFmtId="3" fontId="7" fillId="0" borderId="0" xfId="0" applyNumberFormat="1" applyFont="1" applyAlignment="1">
      <alignment horizontal="right"/>
    </xf>
    <xf numFmtId="3" fontId="10" fillId="0" borderId="0" xfId="0" applyNumberFormat="1" applyFont="1" applyAlignment="1">
      <alignment horizontal="right"/>
    </xf>
    <xf numFmtId="3" fontId="0" fillId="0" borderId="0" xfId="0" applyNumberFormat="1" applyBorder="1"/>
    <xf numFmtId="3" fontId="0" fillId="0" borderId="0" xfId="0" applyNumberFormat="1" applyFill="1" applyBorder="1"/>
    <xf numFmtId="0" fontId="2" fillId="4" borderId="13" xfId="2" applyFont="1" applyFill="1" applyBorder="1" applyAlignment="1" applyProtection="1">
      <alignment horizontal="center" wrapText="1"/>
    </xf>
    <xf numFmtId="0" fontId="26" fillId="5" borderId="0" xfId="2" applyFont="1" applyFill="1" applyBorder="1" applyAlignment="1" applyProtection="1">
      <alignment horizontal="center"/>
    </xf>
    <xf numFmtId="0" fontId="27" fillId="5" borderId="0" xfId="0" applyFont="1" applyFill="1" applyAlignment="1">
      <alignment horizontal="center" vertical="center"/>
    </xf>
    <xf numFmtId="0" fontId="22" fillId="2" borderId="0" xfId="0" applyFont="1" applyFill="1" applyBorder="1" applyAlignment="1">
      <alignment horizontal="left" vertical="center" wrapText="1"/>
    </xf>
    <xf numFmtId="0" fontId="23" fillId="3" borderId="7" xfId="0" applyFont="1" applyFill="1" applyBorder="1" applyAlignment="1">
      <alignment horizontal="left"/>
    </xf>
    <xf numFmtId="0" fontId="23" fillId="3" borderId="6" xfId="0" applyFont="1" applyFill="1" applyBorder="1" applyAlignment="1">
      <alignment horizontal="left"/>
    </xf>
    <xf numFmtId="0" fontId="23" fillId="6" borderId="15" xfId="2" applyFont="1" applyFill="1" applyBorder="1" applyAlignment="1" applyProtection="1">
      <alignment horizontal="center"/>
    </xf>
    <xf numFmtId="0" fontId="23" fillId="6" borderId="16" xfId="2" applyFont="1" applyFill="1" applyBorder="1" applyAlignment="1" applyProtection="1">
      <alignment horizontal="center"/>
    </xf>
    <xf numFmtId="0" fontId="23" fillId="6" borderId="17" xfId="2" applyFont="1" applyFill="1" applyBorder="1" applyAlignment="1" applyProtection="1">
      <alignment horizontal="center"/>
    </xf>
    <xf numFmtId="0" fontId="28" fillId="4" borderId="15" xfId="0" applyFont="1" applyFill="1" applyBorder="1" applyAlignment="1" applyProtection="1">
      <alignment horizontal="center"/>
      <protection locked="0"/>
    </xf>
    <xf numFmtId="0" fontId="28" fillId="4" borderId="16" xfId="0" applyFont="1" applyFill="1" applyBorder="1" applyAlignment="1" applyProtection="1">
      <alignment horizontal="center"/>
      <protection locked="0"/>
    </xf>
    <xf numFmtId="0" fontId="28" fillId="4" borderId="17" xfId="0" applyFont="1" applyFill="1" applyBorder="1" applyAlignment="1" applyProtection="1">
      <alignment horizontal="center"/>
      <protection locked="0"/>
    </xf>
    <xf numFmtId="0" fontId="36" fillId="3" borderId="1" xfId="0" applyFont="1" applyFill="1" applyBorder="1" applyAlignment="1">
      <alignment horizontal="left" vertical="center" wrapText="1"/>
    </xf>
    <xf numFmtId="0" fontId="36" fillId="3" borderId="0"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21" fillId="6" borderId="15" xfId="2" applyFont="1" applyFill="1" applyBorder="1" applyAlignment="1" applyProtection="1">
      <alignment horizontal="center"/>
    </xf>
    <xf numFmtId="0" fontId="21" fillId="6" borderId="16" xfId="2" applyFont="1" applyFill="1" applyBorder="1" applyAlignment="1" applyProtection="1">
      <alignment horizontal="center"/>
    </xf>
    <xf numFmtId="0" fontId="21" fillId="6" borderId="17" xfId="2" applyFont="1" applyFill="1" applyBorder="1" applyAlignment="1" applyProtection="1">
      <alignment horizontal="center"/>
    </xf>
    <xf numFmtId="0" fontId="22" fillId="3" borderId="1" xfId="0" applyFont="1" applyFill="1" applyBorder="1" applyAlignment="1">
      <alignment horizontal="left" vertical="center"/>
    </xf>
    <xf numFmtId="0" fontId="22" fillId="3" borderId="0" xfId="0" applyFont="1" applyFill="1" applyBorder="1" applyAlignment="1">
      <alignment horizontal="left" vertical="center"/>
    </xf>
    <xf numFmtId="0" fontId="2" fillId="4" borderId="18" xfId="2" applyFont="1" applyFill="1" applyBorder="1" applyAlignment="1" applyProtection="1">
      <alignment horizontal="left" vertical="center" wrapText="1"/>
    </xf>
    <xf numFmtId="0" fontId="2" fillId="4" borderId="19" xfId="2" applyFont="1" applyFill="1" applyBorder="1" applyAlignment="1" applyProtection="1">
      <alignment horizontal="left" vertical="center" wrapText="1"/>
    </xf>
    <xf numFmtId="0" fontId="2" fillId="4" borderId="20" xfId="2" applyFont="1" applyFill="1" applyBorder="1" applyAlignment="1" applyProtection="1">
      <alignment horizontal="left" vertical="center" wrapText="1"/>
    </xf>
    <xf numFmtId="0" fontId="2" fillId="4" borderId="21" xfId="2" applyFont="1" applyFill="1" applyBorder="1" applyAlignment="1" applyProtection="1">
      <alignment horizontal="left" vertical="center" wrapText="1"/>
    </xf>
    <xf numFmtId="0" fontId="2" fillId="4" borderId="22" xfId="2" applyFont="1" applyFill="1" applyBorder="1" applyAlignment="1" applyProtection="1">
      <alignment horizontal="left" vertical="center" wrapText="1"/>
    </xf>
    <xf numFmtId="0" fontId="2" fillId="4" borderId="23" xfId="2" applyFont="1" applyFill="1" applyBorder="1" applyAlignment="1" applyProtection="1">
      <alignment horizontal="left" vertical="center" wrapText="1"/>
    </xf>
    <xf numFmtId="0" fontId="14" fillId="0" borderId="0" xfId="0" applyFont="1" applyBorder="1" applyAlignment="1">
      <alignment horizontal="left"/>
    </xf>
    <xf numFmtId="0" fontId="39" fillId="5" borderId="0" xfId="0" applyFont="1" applyFill="1" applyBorder="1" applyAlignment="1">
      <alignment horizontal="left" vertical="center" wrapText="1"/>
    </xf>
    <xf numFmtId="0" fontId="39" fillId="5" borderId="0" xfId="0" applyFont="1" applyFill="1" applyAlignment="1">
      <alignment horizontal="right" vertical="center"/>
    </xf>
    <xf numFmtId="0" fontId="15" fillId="3" borderId="15" xfId="0" applyFont="1" applyFill="1" applyBorder="1" applyAlignment="1">
      <alignment horizontal="center"/>
    </xf>
    <xf numFmtId="0" fontId="15" fillId="3" borderId="16" xfId="0" applyFont="1" applyFill="1" applyBorder="1" applyAlignment="1">
      <alignment horizontal="center"/>
    </xf>
    <xf numFmtId="0" fontId="15" fillId="3" borderId="17" xfId="0" applyFont="1" applyFill="1" applyBorder="1" applyAlignment="1">
      <alignment horizontal="center"/>
    </xf>
    <xf numFmtId="0" fontId="15" fillId="0" borderId="1" xfId="0" applyFont="1" applyBorder="1" applyAlignment="1">
      <alignment horizontal="left" vertical="top" wrapText="1"/>
    </xf>
    <xf numFmtId="0" fontId="15" fillId="0" borderId="0"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6" fillId="0" borderId="1" xfId="0" applyNumberFormat="1" applyFont="1" applyBorder="1" applyAlignment="1">
      <alignment horizontal="left" wrapText="1"/>
    </xf>
    <xf numFmtId="0" fontId="16" fillId="0" borderId="0" xfId="0" applyNumberFormat="1" applyFont="1" applyBorder="1" applyAlignment="1">
      <alignment horizontal="left" wrapText="1"/>
    </xf>
    <xf numFmtId="0" fontId="16" fillId="0" borderId="4" xfId="0" applyNumberFormat="1" applyFont="1" applyBorder="1" applyAlignment="1">
      <alignment horizontal="left" wrapText="1"/>
    </xf>
    <xf numFmtId="0" fontId="16" fillId="0" borderId="2" xfId="0" applyNumberFormat="1" applyFont="1" applyBorder="1" applyAlignment="1">
      <alignment horizontal="left" wrapText="1"/>
    </xf>
    <xf numFmtId="0" fontId="16" fillId="0" borderId="3" xfId="0" applyNumberFormat="1" applyFont="1" applyBorder="1" applyAlignment="1">
      <alignment horizontal="left" wrapText="1"/>
    </xf>
    <xf numFmtId="0" fontId="16" fillId="0" borderId="5" xfId="0" applyNumberFormat="1" applyFont="1" applyBorder="1" applyAlignment="1">
      <alignment horizontal="left" wrapText="1"/>
    </xf>
    <xf numFmtId="0" fontId="14" fillId="0" borderId="3" xfId="0" applyFont="1" applyBorder="1" applyAlignment="1">
      <alignment horizontal="left" vertical="top" wrapText="1"/>
    </xf>
    <xf numFmtId="0" fontId="15" fillId="0" borderId="1" xfId="0" applyFont="1" applyBorder="1" applyAlignment="1">
      <alignment horizontal="left"/>
    </xf>
    <xf numFmtId="0" fontId="15" fillId="0" borderId="0" xfId="0" applyFont="1" applyBorder="1" applyAlignment="1">
      <alignment horizontal="left"/>
    </xf>
    <xf numFmtId="0" fontId="25" fillId="4" borderId="7" xfId="2" applyFont="1" applyFill="1" applyBorder="1" applyAlignment="1" applyProtection="1">
      <alignment horizontal="center" vertical="center" wrapText="1"/>
    </xf>
    <xf numFmtId="0" fontId="25" fillId="4" borderId="6" xfId="2" applyFont="1" applyFill="1" applyBorder="1" applyAlignment="1" applyProtection="1">
      <alignment horizontal="center" vertical="center" wrapText="1"/>
    </xf>
    <xf numFmtId="0" fontId="25" fillId="4" borderId="8" xfId="2" applyFont="1" applyFill="1" applyBorder="1" applyAlignment="1" applyProtection="1">
      <alignment horizontal="center" vertical="center" wrapText="1"/>
    </xf>
    <xf numFmtId="0" fontId="25" fillId="4" borderId="1" xfId="2" applyFont="1" applyFill="1" applyBorder="1" applyAlignment="1" applyProtection="1">
      <alignment horizontal="center" vertical="center" wrapText="1"/>
    </xf>
    <xf numFmtId="0" fontId="25" fillId="4" borderId="0" xfId="2" applyFont="1" applyFill="1" applyBorder="1" applyAlignment="1" applyProtection="1">
      <alignment horizontal="center" vertical="center" wrapText="1"/>
    </xf>
    <xf numFmtId="0" fontId="25" fillId="4" borderId="4" xfId="2" applyFont="1" applyFill="1" applyBorder="1" applyAlignment="1" applyProtection="1">
      <alignment horizontal="center" vertical="center" wrapText="1"/>
    </xf>
    <xf numFmtId="0" fontId="25" fillId="4" borderId="2" xfId="2" applyFont="1" applyFill="1" applyBorder="1" applyAlignment="1" applyProtection="1">
      <alignment horizontal="center" vertical="center" wrapText="1"/>
    </xf>
    <xf numFmtId="0" fontId="25" fillId="4" borderId="3" xfId="2" applyFont="1" applyFill="1" applyBorder="1" applyAlignment="1" applyProtection="1">
      <alignment horizontal="center" vertical="center" wrapText="1"/>
    </xf>
    <xf numFmtId="0" fontId="25" fillId="4" borderId="5" xfId="2" applyFont="1" applyFill="1" applyBorder="1" applyAlignment="1" applyProtection="1">
      <alignment horizontal="center" vertical="center" wrapText="1"/>
    </xf>
    <xf numFmtId="0" fontId="35" fillId="4" borderId="7"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35" fillId="4" borderId="8"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14" fillId="0" borderId="0" xfId="0" applyFont="1" applyBorder="1" applyAlignment="1">
      <alignment horizontal="left" vertical="top" wrapText="1"/>
    </xf>
    <xf numFmtId="0" fontId="12" fillId="3" borderId="15" xfId="0" applyFont="1" applyFill="1" applyBorder="1" applyAlignment="1">
      <alignment horizontal="center"/>
    </xf>
    <xf numFmtId="0" fontId="12" fillId="3" borderId="16" xfId="0" applyFont="1" applyFill="1" applyBorder="1" applyAlignment="1">
      <alignment horizontal="center"/>
    </xf>
    <xf numFmtId="0" fontId="12" fillId="3" borderId="17" xfId="0" applyFont="1" applyFill="1" applyBorder="1" applyAlignment="1">
      <alignment horizontal="center"/>
    </xf>
    <xf numFmtId="0" fontId="15" fillId="0" borderId="8" xfId="0" applyFont="1" applyFill="1" applyBorder="1" applyAlignment="1">
      <alignment horizontal="center" vertical="center"/>
    </xf>
    <xf numFmtId="0" fontId="15" fillId="0" borderId="4" xfId="0" applyFont="1" applyFill="1" applyBorder="1" applyAlignment="1">
      <alignment horizontal="center" vertical="center"/>
    </xf>
    <xf numFmtId="0" fontId="14" fillId="0" borderId="1" xfId="0" applyFont="1" applyBorder="1" applyAlignment="1">
      <alignment horizontal="left"/>
    </xf>
    <xf numFmtId="0" fontId="14" fillId="0" borderId="3" xfId="0" applyFont="1" applyBorder="1" applyAlignment="1">
      <alignment horizontal="left"/>
    </xf>
    <xf numFmtId="0" fontId="37" fillId="5" borderId="0" xfId="0" applyFont="1" applyFill="1" applyBorder="1" applyAlignment="1">
      <alignment horizontal="left"/>
    </xf>
    <xf numFmtId="0" fontId="37" fillId="5" borderId="0" xfId="0" applyFont="1" applyFill="1" applyBorder="1" applyAlignment="1">
      <alignment horizontal="center" vertical="center" wrapText="1"/>
    </xf>
    <xf numFmtId="0" fontId="37" fillId="5" borderId="0" xfId="0" applyFont="1" applyFill="1" applyAlignment="1">
      <alignment horizontal="right" vertical="center"/>
    </xf>
    <xf numFmtId="0" fontId="14" fillId="0" borderId="0" xfId="0" applyFont="1" applyBorder="1" applyAlignment="1">
      <alignment horizontal="center"/>
    </xf>
    <xf numFmtId="0" fontId="42" fillId="5" borderId="0" xfId="0" applyFont="1" applyFill="1" applyBorder="1" applyAlignment="1">
      <alignment horizontal="center" vertical="center"/>
    </xf>
    <xf numFmtId="0" fontId="15" fillId="0" borderId="7" xfId="0" applyFont="1" applyFill="1" applyBorder="1" applyAlignment="1">
      <alignment horizontal="center"/>
    </xf>
    <xf numFmtId="0" fontId="15" fillId="0" borderId="6" xfId="0" applyFont="1" applyFill="1" applyBorder="1" applyAlignment="1">
      <alignment horizontal="center"/>
    </xf>
    <xf numFmtId="0" fontId="5" fillId="3" borderId="24" xfId="0" applyFont="1" applyFill="1" applyBorder="1" applyAlignment="1">
      <alignment horizontal="center"/>
    </xf>
    <xf numFmtId="0" fontId="5" fillId="3" borderId="10" xfId="0" applyFont="1" applyFill="1" applyBorder="1" applyAlignment="1">
      <alignment horizontal="center"/>
    </xf>
    <xf numFmtId="0" fontId="6" fillId="3" borderId="24"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24" xfId="0" applyNumberFormat="1" applyFont="1" applyFill="1" applyBorder="1" applyAlignment="1">
      <alignment horizontal="center" vertical="center" wrapText="1"/>
    </xf>
    <xf numFmtId="0" fontId="33" fillId="4" borderId="18" xfId="2" applyFont="1" applyFill="1" applyBorder="1" applyAlignment="1" applyProtection="1">
      <alignment horizontal="center" vertical="center"/>
    </xf>
    <xf numFmtId="0" fontId="21" fillId="4" borderId="20" xfId="2" applyFont="1" applyFill="1" applyBorder="1" applyAlignment="1" applyProtection="1">
      <alignment horizontal="center" vertical="center"/>
    </xf>
    <xf numFmtId="0" fontId="21" fillId="4" borderId="21" xfId="2" applyFont="1" applyFill="1" applyBorder="1" applyAlignment="1" applyProtection="1">
      <alignment horizontal="center" vertical="center"/>
    </xf>
    <xf numFmtId="0" fontId="21" fillId="4" borderId="23" xfId="2" applyFont="1" applyFill="1" applyBorder="1" applyAlignment="1" applyProtection="1">
      <alignment horizontal="center" vertical="center"/>
    </xf>
    <xf numFmtId="49" fontId="2" fillId="3" borderId="12" xfId="0" applyNumberFormat="1" applyFont="1" applyFill="1" applyBorder="1" applyAlignment="1">
      <alignment horizontal="center" vertical="center" wrapText="1"/>
    </xf>
    <xf numFmtId="49" fontId="2" fillId="3" borderId="2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xf>
    <xf numFmtId="164" fontId="2" fillId="3" borderId="24"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wrapText="1"/>
    </xf>
    <xf numFmtId="0" fontId="2" fillId="3" borderId="24" xfId="0" applyFont="1" applyFill="1" applyBorder="1" applyAlignment="1">
      <alignment horizontal="center" wrapText="1"/>
    </xf>
    <xf numFmtId="0" fontId="33" fillId="4" borderId="18" xfId="2" applyFont="1" applyFill="1" applyBorder="1" applyAlignment="1" applyProtection="1">
      <alignment horizontal="center" vertical="center" wrapText="1"/>
    </xf>
    <xf numFmtId="0" fontId="21" fillId="4" borderId="20" xfId="2" applyFont="1" applyFill="1" applyBorder="1" applyAlignment="1" applyProtection="1">
      <alignment horizontal="center" vertical="center" wrapText="1"/>
    </xf>
    <xf numFmtId="0" fontId="21" fillId="4" borderId="21" xfId="2" applyFont="1" applyFill="1" applyBorder="1" applyAlignment="1" applyProtection="1">
      <alignment horizontal="center" vertical="center" wrapText="1"/>
    </xf>
    <xf numFmtId="0" fontId="21" fillId="4" borderId="23" xfId="2" applyFont="1" applyFill="1" applyBorder="1" applyAlignment="1" applyProtection="1">
      <alignment horizontal="center" vertical="center" wrapText="1"/>
    </xf>
    <xf numFmtId="0" fontId="2" fillId="3" borderId="10" xfId="0" applyFont="1" applyFill="1" applyBorder="1" applyAlignment="1">
      <alignment horizontal="center" wrapText="1"/>
    </xf>
    <xf numFmtId="0" fontId="2" fillId="3" borderId="24"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0" xfId="0" applyFont="1" applyFill="1" applyBorder="1" applyAlignment="1">
      <alignment horizontal="center" vertical="center"/>
    </xf>
    <xf numFmtId="164" fontId="2" fillId="3" borderId="12" xfId="0" applyNumberFormat="1" applyFont="1" applyFill="1" applyBorder="1" applyAlignment="1">
      <alignment horizontal="center" vertical="center" wrapText="1"/>
    </xf>
    <xf numFmtId="164" fontId="2" fillId="3" borderId="10" xfId="0" applyNumberFormat="1" applyFont="1" applyFill="1" applyBorder="1" applyAlignment="1">
      <alignment horizontal="center" vertical="center" wrapText="1"/>
    </xf>
    <xf numFmtId="164" fontId="2" fillId="3" borderId="24" xfId="0" applyNumberFormat="1" applyFont="1" applyFill="1" applyBorder="1" applyAlignment="1">
      <alignment horizontal="center" vertical="center" wrapText="1"/>
    </xf>
    <xf numFmtId="0" fontId="33" fillId="4" borderId="0" xfId="2" applyFont="1" applyFill="1" applyBorder="1" applyAlignment="1" applyProtection="1">
      <alignment horizontal="center" vertical="center"/>
    </xf>
    <xf numFmtId="0" fontId="21" fillId="4" borderId="25" xfId="2" applyFont="1" applyFill="1" applyBorder="1" applyAlignment="1" applyProtection="1">
      <alignment horizontal="center" vertical="center"/>
    </xf>
    <xf numFmtId="0" fontId="21" fillId="4" borderId="22" xfId="2" applyFont="1" applyFill="1" applyBorder="1" applyAlignment="1" applyProtection="1">
      <alignment horizontal="center" vertical="center"/>
    </xf>
    <xf numFmtId="0" fontId="9" fillId="3" borderId="9" xfId="0" applyFont="1" applyFill="1" applyBorder="1" applyAlignment="1">
      <alignment horizontal="center" vertical="center" wrapText="1"/>
    </xf>
    <xf numFmtId="0" fontId="2" fillId="3" borderId="9" xfId="0" applyFont="1" applyFill="1" applyBorder="1" applyAlignment="1">
      <alignment horizontal="center"/>
    </xf>
    <xf numFmtId="0" fontId="2" fillId="3" borderId="9" xfId="0" applyFont="1" applyFill="1" applyBorder="1" applyAlignment="1">
      <alignment horizontal="center" vertical="center"/>
    </xf>
    <xf numFmtId="0" fontId="33" fillId="4" borderId="0" xfId="2" applyFont="1" applyFill="1" applyAlignment="1" applyProtection="1">
      <alignment vertical="center"/>
    </xf>
    <xf numFmtId="0" fontId="21" fillId="4" borderId="25" xfId="2" applyFont="1" applyFill="1" applyBorder="1" applyAlignment="1" applyProtection="1">
      <alignment vertical="center"/>
    </xf>
    <xf numFmtId="0" fontId="21" fillId="4" borderId="22" xfId="2" applyFont="1" applyFill="1" applyBorder="1" applyAlignment="1" applyProtection="1">
      <alignment vertical="center"/>
    </xf>
    <xf numFmtId="0" fontId="21" fillId="4" borderId="23" xfId="2" applyFont="1" applyFill="1" applyBorder="1" applyAlignment="1" applyProtection="1">
      <alignment vertical="center"/>
    </xf>
    <xf numFmtId="0" fontId="2" fillId="3" borderId="9" xfId="0" applyFont="1" applyFill="1" applyBorder="1" applyAlignment="1">
      <alignment horizontal="center" wrapText="1"/>
    </xf>
    <xf numFmtId="0" fontId="7" fillId="3" borderId="9" xfId="0" applyFont="1" applyFill="1" applyBorder="1"/>
    <xf numFmtId="0" fontId="2" fillId="3" borderId="9" xfId="0" applyFont="1" applyFill="1" applyBorder="1" applyAlignment="1">
      <alignment horizontal="center" vertical="center" wrapText="1"/>
    </xf>
    <xf numFmtId="1" fontId="2" fillId="3" borderId="9" xfId="0" applyNumberFormat="1" applyFont="1" applyFill="1" applyBorder="1" applyAlignment="1">
      <alignment horizontal="center" vertical="center"/>
    </xf>
    <xf numFmtId="0" fontId="33" fillId="4" borderId="22" xfId="2" applyFont="1" applyFill="1" applyBorder="1" applyAlignment="1" applyProtection="1">
      <alignment horizontal="center" vertical="center"/>
    </xf>
    <xf numFmtId="0" fontId="2" fillId="3" borderId="1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xf>
    <xf numFmtId="0" fontId="2" fillId="3" borderId="24" xfId="0" applyFont="1" applyFill="1" applyBorder="1" applyAlignment="1">
      <alignment horizontal="center"/>
    </xf>
    <xf numFmtId="0" fontId="2" fillId="3" borderId="10" xfId="0" applyFont="1" applyFill="1" applyBorder="1" applyAlignment="1">
      <alignment horizontal="center"/>
    </xf>
    <xf numFmtId="0" fontId="29" fillId="4" borderId="20" xfId="2" applyFont="1" applyFill="1" applyBorder="1" applyAlignment="1" applyProtection="1">
      <alignment horizontal="center" vertical="center" wrapText="1"/>
    </xf>
    <xf numFmtId="0" fontId="29" fillId="4" borderId="21" xfId="2" applyFont="1" applyFill="1" applyBorder="1" applyAlignment="1" applyProtection="1">
      <alignment horizontal="center" vertical="center" wrapText="1"/>
    </xf>
    <xf numFmtId="0" fontId="29" fillId="4" borderId="23" xfId="2" applyFont="1" applyFill="1" applyBorder="1" applyAlignment="1" applyProtection="1">
      <alignment horizontal="center" vertical="center" wrapText="1"/>
    </xf>
    <xf numFmtId="0" fontId="2" fillId="3" borderId="26" xfId="0" applyFont="1" applyFill="1" applyBorder="1" applyAlignment="1">
      <alignment horizontal="center" wrapText="1"/>
    </xf>
    <xf numFmtId="0" fontId="2" fillId="3" borderId="0" xfId="0" applyFont="1" applyFill="1" applyBorder="1" applyAlignment="1">
      <alignment horizontal="center" wrapText="1"/>
    </xf>
    <xf numFmtId="0" fontId="2" fillId="3" borderId="25" xfId="0" applyFont="1" applyFill="1" applyBorder="1" applyAlignment="1">
      <alignment horizontal="center" wrapText="1"/>
    </xf>
    <xf numFmtId="0" fontId="33" fillId="4" borderId="0" xfId="2" applyFont="1" applyFill="1" applyAlignment="1" applyProtection="1">
      <alignment horizontal="center" vertical="center"/>
    </xf>
    <xf numFmtId="0" fontId="21" fillId="4" borderId="0" xfId="2" applyFont="1" applyFill="1" applyAlignment="1" applyProtection="1">
      <alignment horizontal="center" vertical="center"/>
    </xf>
    <xf numFmtId="164" fontId="2" fillId="3" borderId="12" xfId="0" applyNumberFormat="1" applyFont="1" applyFill="1" applyBorder="1" applyAlignment="1">
      <alignment horizontal="center" wrapText="1"/>
    </xf>
    <xf numFmtId="164" fontId="2" fillId="3" borderId="24" xfId="0" applyNumberFormat="1" applyFont="1" applyFill="1" applyBorder="1" applyAlignment="1">
      <alignment horizontal="center" wrapText="1"/>
    </xf>
    <xf numFmtId="164" fontId="2" fillId="3" borderId="10" xfId="0" applyNumberFormat="1" applyFont="1" applyFill="1" applyBorder="1" applyAlignment="1">
      <alignment horizontal="center" wrapText="1"/>
    </xf>
    <xf numFmtId="0" fontId="33" fillId="4" borderId="1" xfId="2" applyFont="1" applyFill="1" applyBorder="1" applyAlignment="1" applyProtection="1">
      <alignment horizontal="center" vertical="center" wrapText="1"/>
    </xf>
    <xf numFmtId="0" fontId="21" fillId="4" borderId="25" xfId="2" applyFont="1" applyFill="1" applyBorder="1" applyAlignment="1" applyProtection="1">
      <alignment horizontal="center" vertical="center" wrapText="1"/>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3" fillId="3" borderId="27" xfId="0" applyFont="1" applyFill="1" applyBorder="1" applyAlignment="1">
      <alignment horizontal="center" vertical="center"/>
    </xf>
    <xf numFmtId="0" fontId="23" fillId="3" borderId="28" xfId="0" applyFont="1" applyFill="1" applyBorder="1" applyAlignment="1">
      <alignment horizontal="center" vertical="center"/>
    </xf>
    <xf numFmtId="0" fontId="7" fillId="0" borderId="2" xfId="0" applyFont="1" applyBorder="1" applyAlignment="1">
      <alignment horizontal="center" wrapText="1"/>
    </xf>
    <xf numFmtId="0" fontId="7" fillId="0" borderId="5" xfId="0" applyFont="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123825</xdr:colOff>
      <xdr:row>32</xdr:row>
      <xdr:rowOff>0</xdr:rowOff>
    </xdr:to>
    <xdr:sp macro="" textlink="">
      <xdr:nvSpPr>
        <xdr:cNvPr id="2539" name="AutoShape 1"/>
        <xdr:cNvSpPr>
          <a:spLocks noChangeAspect="1" noChangeArrowheads="1"/>
        </xdr:cNvSpPr>
      </xdr:nvSpPr>
      <xdr:spPr bwMode="auto">
        <a:xfrm>
          <a:off x="0" y="52197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xdr:row>
      <xdr:rowOff>0</xdr:rowOff>
    </xdr:from>
    <xdr:to>
      <xdr:col>0</xdr:col>
      <xdr:colOff>123825</xdr:colOff>
      <xdr:row>32</xdr:row>
      <xdr:rowOff>0</xdr:rowOff>
    </xdr:to>
    <xdr:sp macro="" textlink="">
      <xdr:nvSpPr>
        <xdr:cNvPr id="2540" name="AutoShape 2"/>
        <xdr:cNvSpPr>
          <a:spLocks noChangeAspect="1" noChangeArrowheads="1"/>
        </xdr:cNvSpPr>
      </xdr:nvSpPr>
      <xdr:spPr bwMode="auto">
        <a:xfrm>
          <a:off x="0" y="52197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428625</xdr:colOff>
      <xdr:row>112</xdr:row>
      <xdr:rowOff>19050</xdr:rowOff>
    </xdr:from>
    <xdr:to>
      <xdr:col>9</xdr:col>
      <xdr:colOff>495300</xdr:colOff>
      <xdr:row>117</xdr:row>
      <xdr:rowOff>19050</xdr:rowOff>
    </xdr:to>
    <xdr:pic>
      <xdr:nvPicPr>
        <xdr:cNvPr id="1525" name="Picture 8" descr="Census20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15973425"/>
          <a:ext cx="657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xdr:colOff>
      <xdr:row>118</xdr:row>
      <xdr:rowOff>9525</xdr:rowOff>
    </xdr:from>
    <xdr:to>
      <xdr:col>9</xdr:col>
      <xdr:colOff>504825</xdr:colOff>
      <xdr:row>122</xdr:row>
      <xdr:rowOff>9525</xdr:rowOff>
    </xdr:to>
    <xdr:pic>
      <xdr:nvPicPr>
        <xdr:cNvPr id="1526" name="Picture 9" descr="CCC_small"/>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4800" y="16802100"/>
          <a:ext cx="1619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GeoWise\InstantAtlas6\Davidw\PHIS\Public_Health_Database\Paisley_pilot\data\long%20term%20illness%20(from%20census%2019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Paisley"/>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ons.gov.uk/ons/guide-method/census/2011/how-our-census-works/how-we-took-the-2011-census/how-we-planned-for-data-delivery/protecting-cofidentiality-with-statistical-disclosure-conctrol/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twitter.com/CambsInsight" TargetMode="External"/><Relationship Id="rId2" Type="http://schemas.openxmlformats.org/officeDocument/2006/relationships/hyperlink" Target="http://www.cambridgeshireinsight.org.uk/" TargetMode="External"/><Relationship Id="rId1" Type="http://schemas.openxmlformats.org/officeDocument/2006/relationships/hyperlink" Target="mailto:research.performance@cambridgeshire.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pageSetUpPr autoPageBreaks="0"/>
  </sheetPr>
  <dimension ref="B2:H28"/>
  <sheetViews>
    <sheetView showRowColHeaders="0" tabSelected="1" showRuler="0" zoomScaleNormal="100" workbookViewId="0">
      <selection activeCell="C20" sqref="C20:E20"/>
    </sheetView>
  </sheetViews>
  <sheetFormatPr defaultColWidth="9.109375" defaultRowHeight="17.399999999999999" x14ac:dyDescent="0.3"/>
  <cols>
    <col min="1" max="1" width="4" style="95" customWidth="1"/>
    <col min="2" max="3" width="20.33203125" style="95" customWidth="1"/>
    <col min="4" max="4" width="23.5546875" style="95" customWidth="1"/>
    <col min="5" max="5" width="20.33203125" style="95" customWidth="1"/>
    <col min="6" max="6" width="20.33203125" style="100" customWidth="1"/>
    <col min="7" max="7" width="21.44140625" style="95" customWidth="1"/>
    <col min="8" max="16384" width="9.109375" style="95"/>
  </cols>
  <sheetData>
    <row r="2" spans="2:8" ht="18.75" customHeight="1" x14ac:dyDescent="0.25">
      <c r="B2" s="249" t="s">
        <v>383</v>
      </c>
      <c r="C2" s="249"/>
      <c r="D2" s="249"/>
      <c r="E2" s="249"/>
      <c r="F2" s="249"/>
      <c r="G2" s="249"/>
      <c r="H2" s="94"/>
    </row>
    <row r="3" spans="2:8" ht="18.75" customHeight="1" x14ac:dyDescent="0.25">
      <c r="B3" s="249"/>
      <c r="C3" s="249"/>
      <c r="D3" s="249"/>
      <c r="E3" s="249"/>
      <c r="F3" s="249"/>
      <c r="G3" s="249"/>
      <c r="H3" s="94"/>
    </row>
    <row r="4" spans="2:8" ht="18.75" customHeight="1" x14ac:dyDescent="0.25">
      <c r="B4" s="162"/>
      <c r="C4" s="162"/>
      <c r="D4" s="162"/>
      <c r="E4" s="162"/>
      <c r="F4" s="162"/>
      <c r="G4" s="162"/>
      <c r="H4" s="94"/>
    </row>
    <row r="5" spans="2:8" ht="18.75" customHeight="1" x14ac:dyDescent="0.25">
      <c r="B5" s="162"/>
      <c r="C5" s="249" t="s">
        <v>389</v>
      </c>
      <c r="D5" s="249"/>
      <c r="E5" s="249"/>
      <c r="F5" s="249"/>
      <c r="G5" s="162"/>
      <c r="H5" s="94"/>
    </row>
    <row r="6" spans="2:8" ht="18.75" customHeight="1" x14ac:dyDescent="0.25">
      <c r="B6" s="162"/>
      <c r="C6" s="249"/>
      <c r="D6" s="249"/>
      <c r="E6" s="249"/>
      <c r="F6" s="249"/>
      <c r="G6" s="162"/>
      <c r="H6" s="94"/>
    </row>
    <row r="7" spans="2:8" ht="18.75" customHeight="1" x14ac:dyDescent="0.25">
      <c r="B7" s="96"/>
      <c r="C7" s="96"/>
      <c r="D7" s="96"/>
      <c r="E7" s="96"/>
      <c r="F7" s="96"/>
      <c r="G7" s="96"/>
    </row>
    <row r="8" spans="2:8" ht="18.75" customHeight="1" x14ac:dyDescent="0.25">
      <c r="B8" s="250" t="s">
        <v>363</v>
      </c>
      <c r="C8" s="250"/>
      <c r="D8" s="250"/>
      <c r="E8" s="250"/>
      <c r="F8" s="250"/>
      <c r="G8" s="250"/>
    </row>
    <row r="9" spans="2:8" ht="24.75" customHeight="1" x14ac:dyDescent="0.25">
      <c r="B9" s="250"/>
      <c r="C9" s="250"/>
      <c r="D9" s="250"/>
      <c r="E9" s="250"/>
      <c r="F9" s="250"/>
      <c r="G9" s="250"/>
    </row>
    <row r="10" spans="2:8" ht="18.75" customHeight="1" x14ac:dyDescent="0.25">
      <c r="B10" s="250" t="s">
        <v>361</v>
      </c>
      <c r="C10" s="250"/>
      <c r="D10" s="250"/>
      <c r="E10" s="250"/>
      <c r="F10" s="250"/>
      <c r="G10" s="250"/>
    </row>
    <row r="11" spans="2:8" ht="18.75" customHeight="1" x14ac:dyDescent="0.25">
      <c r="B11" s="250"/>
      <c r="C11" s="250"/>
      <c r="D11" s="250"/>
      <c r="E11" s="250"/>
      <c r="F11" s="250"/>
      <c r="G11" s="250"/>
    </row>
    <row r="12" spans="2:8" ht="18.75" customHeight="1" x14ac:dyDescent="0.25">
      <c r="B12" s="250" t="s">
        <v>328</v>
      </c>
      <c r="C12" s="250"/>
      <c r="D12" s="250"/>
      <c r="E12" s="250"/>
      <c r="F12" s="250"/>
      <c r="G12" s="250"/>
    </row>
    <row r="13" spans="2:8" ht="18.75" customHeight="1" x14ac:dyDescent="0.25">
      <c r="B13" s="250"/>
      <c r="C13" s="250"/>
      <c r="D13" s="250"/>
      <c r="E13" s="250"/>
      <c r="F13" s="250"/>
      <c r="G13" s="250"/>
    </row>
    <row r="14" spans="2:8" ht="13.5" customHeight="1" x14ac:dyDescent="0.25">
      <c r="B14" s="250"/>
      <c r="C14" s="250"/>
      <c r="D14" s="250"/>
      <c r="E14" s="250"/>
      <c r="F14" s="250"/>
      <c r="G14" s="250"/>
    </row>
    <row r="15" spans="2:8" ht="18.75" customHeight="1" thickBot="1" x14ac:dyDescent="0.3">
      <c r="B15" s="97"/>
      <c r="C15" s="97"/>
      <c r="D15" s="97"/>
      <c r="E15" s="97"/>
      <c r="F15" s="97"/>
      <c r="G15" s="97"/>
    </row>
    <row r="16" spans="2:8" ht="18.75" customHeight="1" x14ac:dyDescent="0.3">
      <c r="B16" s="251" t="s">
        <v>384</v>
      </c>
      <c r="C16" s="252"/>
      <c r="D16" s="102"/>
      <c r="E16" s="102"/>
      <c r="F16" s="102"/>
      <c r="G16" s="103"/>
    </row>
    <row r="17" spans="2:7" ht="8.25" customHeight="1" x14ac:dyDescent="0.3">
      <c r="B17" s="163"/>
      <c r="C17" s="164"/>
      <c r="D17" s="158"/>
      <c r="E17" s="158"/>
      <c r="F17" s="158"/>
      <c r="G17" s="159"/>
    </row>
    <row r="18" spans="2:7" ht="18.75" customHeight="1" x14ac:dyDescent="0.25">
      <c r="B18" s="259" t="s">
        <v>385</v>
      </c>
      <c r="C18" s="260"/>
      <c r="D18" s="260"/>
      <c r="E18" s="260"/>
      <c r="F18" s="260"/>
      <c r="G18" s="261"/>
    </row>
    <row r="19" spans="2:7" ht="18" thickBot="1" x14ac:dyDescent="0.35">
      <c r="B19" s="104"/>
      <c r="C19" s="105"/>
      <c r="D19" s="105"/>
      <c r="E19" s="105"/>
      <c r="F19" s="106"/>
      <c r="G19" s="107"/>
    </row>
    <row r="20" spans="2:7" ht="22.5" customHeight="1" thickBot="1" x14ac:dyDescent="0.45">
      <c r="B20" s="108" t="s">
        <v>341</v>
      </c>
      <c r="C20" s="256" t="s">
        <v>309</v>
      </c>
      <c r="D20" s="257"/>
      <c r="E20" s="258"/>
      <c r="F20" s="105"/>
      <c r="G20" s="199" t="s">
        <v>291</v>
      </c>
    </row>
    <row r="21" spans="2:7" ht="18.75" customHeight="1" thickBot="1" x14ac:dyDescent="0.3">
      <c r="B21" s="109"/>
      <c r="C21" s="110"/>
      <c r="D21" s="110"/>
      <c r="E21" s="110"/>
      <c r="F21" s="110"/>
      <c r="G21" s="111"/>
    </row>
    <row r="22" spans="2:7" ht="18" thickBot="1" x14ac:dyDescent="0.35"/>
    <row r="23" spans="2:7" ht="18" thickBot="1" x14ac:dyDescent="0.35">
      <c r="B23" s="253" t="s">
        <v>378</v>
      </c>
      <c r="C23" s="254"/>
      <c r="D23" s="255"/>
      <c r="E23" s="98"/>
      <c r="F23" s="99"/>
      <c r="G23" s="205" t="s">
        <v>293</v>
      </c>
    </row>
    <row r="24" spans="2:7" x14ac:dyDescent="0.3">
      <c r="C24" s="98"/>
      <c r="D24" s="98"/>
      <c r="E24" s="98"/>
      <c r="F24" s="99"/>
      <c r="G24" s="165"/>
    </row>
    <row r="25" spans="2:7" x14ac:dyDescent="0.3">
      <c r="E25" s="98"/>
      <c r="F25" s="99"/>
      <c r="G25" s="165"/>
    </row>
    <row r="26" spans="2:7" x14ac:dyDescent="0.3">
      <c r="B26" s="98"/>
      <c r="C26" s="98"/>
      <c r="D26" s="98"/>
      <c r="E26" s="98"/>
      <c r="F26" s="99"/>
      <c r="G26" s="98"/>
    </row>
    <row r="27" spans="2:7" ht="15.6" x14ac:dyDescent="0.3">
      <c r="B27" s="248" t="s">
        <v>354</v>
      </c>
      <c r="C27" s="248"/>
      <c r="D27" s="248"/>
      <c r="E27" s="248"/>
      <c r="F27" s="248"/>
      <c r="G27" s="248"/>
    </row>
    <row r="28" spans="2:7" ht="18" customHeight="1" x14ac:dyDescent="0.3"/>
  </sheetData>
  <mergeCells count="10">
    <mergeCell ref="B27:G27"/>
    <mergeCell ref="B2:G3"/>
    <mergeCell ref="B12:G14"/>
    <mergeCell ref="B16:C16"/>
    <mergeCell ref="C5:F6"/>
    <mergeCell ref="B8:G9"/>
    <mergeCell ref="B10:G11"/>
    <mergeCell ref="B23:D23"/>
    <mergeCell ref="C20:E20"/>
    <mergeCell ref="B18:G18"/>
  </mergeCells>
  <phoneticPr fontId="4" type="noConversion"/>
  <hyperlinks>
    <hyperlink ref="G20" location="'Profile sheet'!A1" display="ENTER"/>
    <hyperlink ref="B27:G27" location="'About Us'!A1" display="Cambridgeshire County Council, Research and Performance Team, April 2013"/>
    <hyperlink ref="G23" location="Metadata!A1" display="Metadata"/>
    <hyperlink ref="B23:D23" location="'Data by topic'!A1" display="Alternatively, to view data by topic click here"/>
  </hyperlinks>
  <pageMargins left="0.75" right="0.75" top="1" bottom="1" header="0.5" footer="0.5"/>
  <pageSetup paperSize="9"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Districts!$A$2:$A$6</xm:f>
          </x14:formula1>
          <xm:sqref>C20:E20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S10"/>
  <sheetViews>
    <sheetView workbookViewId="0">
      <pane xSplit="2" ySplit="2" topLeftCell="C3" activePane="bottomRight" state="frozen"/>
      <selection pane="topRight" activeCell="C1" sqref="C1"/>
      <selection pane="bottomLeft" activeCell="A3" sqref="A3"/>
      <selection pane="bottomRight" sqref="A1:B1"/>
    </sheetView>
  </sheetViews>
  <sheetFormatPr defaultColWidth="9.109375" defaultRowHeight="13.2" x14ac:dyDescent="0.25"/>
  <cols>
    <col min="1" max="1" width="16.33203125" style="15" customWidth="1"/>
    <col min="2" max="2" width="28.44140625" style="15" customWidth="1"/>
    <col min="3" max="4" width="16.109375" style="15" customWidth="1"/>
    <col min="5" max="5" width="16.109375" style="61" customWidth="1"/>
    <col min="6" max="10" width="16.109375" style="15" customWidth="1"/>
    <col min="11" max="11" width="16.109375" style="61" customWidth="1"/>
    <col min="12" max="14" width="16.109375" style="15" customWidth="1"/>
    <col min="15" max="15" width="16.109375" style="61" customWidth="1"/>
    <col min="16" max="18" width="16.109375" style="15" customWidth="1"/>
    <col min="19" max="16384" width="9.109375" style="15"/>
  </cols>
  <sheetData>
    <row r="1" spans="1:19" ht="48.75" customHeight="1" x14ac:dyDescent="0.25">
      <c r="A1" s="370" t="s">
        <v>323</v>
      </c>
      <c r="B1" s="333"/>
      <c r="C1" s="350" t="s">
        <v>292</v>
      </c>
      <c r="D1" s="351"/>
      <c r="E1" s="351"/>
      <c r="F1" s="351"/>
      <c r="G1" s="351"/>
      <c r="H1" s="351"/>
      <c r="I1" s="351"/>
      <c r="J1" s="351"/>
      <c r="K1" s="351"/>
      <c r="L1" s="351"/>
      <c r="M1" s="351"/>
      <c r="N1" s="351"/>
      <c r="O1" s="351"/>
      <c r="P1" s="351"/>
      <c r="Q1" s="351"/>
      <c r="R1" s="351"/>
    </row>
    <row r="2" spans="1:19" s="59" customFormat="1" ht="88.5" customHeight="1" x14ac:dyDescent="0.25">
      <c r="A2" s="173" t="s">
        <v>364</v>
      </c>
      <c r="B2" s="173" t="s">
        <v>346</v>
      </c>
      <c r="C2" s="187" t="s">
        <v>227</v>
      </c>
      <c r="D2" s="187" t="s">
        <v>228</v>
      </c>
      <c r="E2" s="188" t="s">
        <v>240</v>
      </c>
      <c r="F2" s="187" t="s">
        <v>229</v>
      </c>
      <c r="G2" s="187" t="s">
        <v>230</v>
      </c>
      <c r="H2" s="187" t="s">
        <v>231</v>
      </c>
      <c r="I2" s="187" t="s">
        <v>232</v>
      </c>
      <c r="J2" s="187" t="s">
        <v>233</v>
      </c>
      <c r="K2" s="188" t="s">
        <v>241</v>
      </c>
      <c r="L2" s="187" t="s">
        <v>234</v>
      </c>
      <c r="M2" s="187" t="s">
        <v>235</v>
      </c>
      <c r="N2" s="187" t="s">
        <v>236</v>
      </c>
      <c r="O2" s="188" t="s">
        <v>247</v>
      </c>
      <c r="P2" s="187" t="s">
        <v>237</v>
      </c>
      <c r="Q2" s="187" t="s">
        <v>238</v>
      </c>
      <c r="R2" s="187" t="s">
        <v>239</v>
      </c>
    </row>
    <row r="3" spans="1:19" x14ac:dyDescent="0.25">
      <c r="A3" s="122" t="s">
        <v>309</v>
      </c>
      <c r="B3" s="20" t="s">
        <v>142</v>
      </c>
      <c r="C3" s="127">
        <v>106007</v>
      </c>
      <c r="D3" s="127">
        <v>12606</v>
      </c>
      <c r="E3" s="155">
        <v>11.891667531389437</v>
      </c>
      <c r="F3" s="246">
        <v>7294</v>
      </c>
      <c r="G3" s="246">
        <v>9159</v>
      </c>
      <c r="H3" s="246">
        <v>2024</v>
      </c>
      <c r="I3" s="246">
        <v>17943</v>
      </c>
      <c r="J3" s="246">
        <v>50169</v>
      </c>
      <c r="K3" s="157">
        <v>47.326119973209316</v>
      </c>
      <c r="L3" s="246">
        <v>6812</v>
      </c>
      <c r="M3" s="246">
        <v>2226</v>
      </c>
      <c r="N3" s="246">
        <v>24506</v>
      </c>
      <c r="O3" s="130">
        <v>23.117341307649493</v>
      </c>
      <c r="P3" s="246">
        <v>4390</v>
      </c>
      <c r="Q3" s="246">
        <v>671</v>
      </c>
      <c r="R3" s="246">
        <v>19427</v>
      </c>
    </row>
    <row r="4" spans="1:19" x14ac:dyDescent="0.25">
      <c r="A4" s="122" t="s">
        <v>84</v>
      </c>
      <c r="B4" s="20" t="s">
        <v>143</v>
      </c>
      <c r="C4" s="127">
        <v>67481</v>
      </c>
      <c r="D4" s="127">
        <v>14127</v>
      </c>
      <c r="E4" s="155">
        <v>20.93478164224004</v>
      </c>
      <c r="F4" s="246">
        <v>8844</v>
      </c>
      <c r="G4" s="246">
        <v>10556</v>
      </c>
      <c r="H4" s="246">
        <v>2928</v>
      </c>
      <c r="I4" s="246">
        <v>7700</v>
      </c>
      <c r="J4" s="246">
        <v>19583</v>
      </c>
      <c r="K4" s="157">
        <v>29.020020450200796</v>
      </c>
      <c r="L4" s="246">
        <v>3743</v>
      </c>
      <c r="M4" s="246">
        <v>1780</v>
      </c>
      <c r="N4" s="246">
        <v>1362</v>
      </c>
      <c r="O4" s="130">
        <v>2.0183459047731955</v>
      </c>
      <c r="P4" s="246">
        <v>649</v>
      </c>
      <c r="Q4" s="246">
        <v>103</v>
      </c>
      <c r="R4" s="246">
        <v>596</v>
      </c>
    </row>
    <row r="5" spans="1:19" x14ac:dyDescent="0.25">
      <c r="A5" s="122" t="s">
        <v>85</v>
      </c>
      <c r="B5" s="20" t="s">
        <v>144</v>
      </c>
      <c r="C5" s="127">
        <v>78482</v>
      </c>
      <c r="D5" s="127">
        <v>24523</v>
      </c>
      <c r="E5" s="155">
        <v>31.246655284014167</v>
      </c>
      <c r="F5" s="246">
        <v>12253</v>
      </c>
      <c r="G5" s="246">
        <v>13323</v>
      </c>
      <c r="H5" s="246">
        <v>3173</v>
      </c>
      <c r="I5" s="246">
        <v>8151</v>
      </c>
      <c r="J5" s="246">
        <v>11677</v>
      </c>
      <c r="K5" s="157">
        <v>14.878570882495348</v>
      </c>
      <c r="L5" s="246">
        <v>5382</v>
      </c>
      <c r="M5" s="246">
        <v>2074</v>
      </c>
      <c r="N5" s="246">
        <v>1508</v>
      </c>
      <c r="O5" s="130">
        <v>1.9214596977650926</v>
      </c>
      <c r="P5" s="246">
        <v>661</v>
      </c>
      <c r="Q5" s="246">
        <v>133</v>
      </c>
      <c r="R5" s="246">
        <v>704</v>
      </c>
    </row>
    <row r="6" spans="1:19" x14ac:dyDescent="0.25">
      <c r="A6" s="124" t="s">
        <v>86</v>
      </c>
      <c r="B6" s="21" t="s">
        <v>145</v>
      </c>
      <c r="C6" s="127">
        <v>137157</v>
      </c>
      <c r="D6" s="127">
        <v>26361</v>
      </c>
      <c r="E6" s="155">
        <v>19.219580480762922</v>
      </c>
      <c r="F6" s="246">
        <v>20055</v>
      </c>
      <c r="G6" s="246">
        <v>23266</v>
      </c>
      <c r="H6" s="246">
        <v>5221</v>
      </c>
      <c r="I6" s="246">
        <v>16977</v>
      </c>
      <c r="J6" s="246">
        <v>38301</v>
      </c>
      <c r="K6" s="157">
        <v>27.924932741311054</v>
      </c>
      <c r="L6" s="246">
        <v>6976</v>
      </c>
      <c r="M6" s="246">
        <v>3837</v>
      </c>
      <c r="N6" s="246">
        <v>3314</v>
      </c>
      <c r="O6" s="130">
        <v>2.4162091617635264</v>
      </c>
      <c r="P6" s="246">
        <v>1646</v>
      </c>
      <c r="Q6" s="246">
        <v>215</v>
      </c>
      <c r="R6" s="246">
        <v>1441</v>
      </c>
    </row>
    <row r="7" spans="1:19" x14ac:dyDescent="0.25">
      <c r="A7" s="119" t="s">
        <v>87</v>
      </c>
      <c r="B7" s="126" t="s">
        <v>146</v>
      </c>
      <c r="C7" s="127">
        <v>119342</v>
      </c>
      <c r="D7" s="127">
        <v>18248</v>
      </c>
      <c r="E7" s="155">
        <v>15.290509627792396</v>
      </c>
      <c r="F7" s="246">
        <v>13275</v>
      </c>
      <c r="G7" s="246">
        <v>17129</v>
      </c>
      <c r="H7" s="246">
        <v>4643</v>
      </c>
      <c r="I7" s="246">
        <v>13472</v>
      </c>
      <c r="J7" s="246">
        <v>47852</v>
      </c>
      <c r="K7" s="157">
        <v>40.096529302341175</v>
      </c>
      <c r="L7" s="246">
        <v>4723</v>
      </c>
      <c r="M7" s="246">
        <v>3448</v>
      </c>
      <c r="N7" s="246">
        <v>3636</v>
      </c>
      <c r="O7" s="130">
        <v>3.0467061051432021</v>
      </c>
      <c r="P7" s="246">
        <v>1499</v>
      </c>
      <c r="Q7" s="246">
        <v>182</v>
      </c>
      <c r="R7" s="246">
        <v>1932</v>
      </c>
    </row>
    <row r="8" spans="1:19" x14ac:dyDescent="0.25">
      <c r="A8" s="121" t="s">
        <v>295</v>
      </c>
      <c r="B8" s="6" t="s">
        <v>294</v>
      </c>
      <c r="C8" s="245">
        <v>508469</v>
      </c>
      <c r="D8" s="245">
        <v>95865</v>
      </c>
      <c r="E8" s="61">
        <v>18.853656761769155</v>
      </c>
      <c r="F8" s="245">
        <v>61721</v>
      </c>
      <c r="G8" s="245">
        <v>73433</v>
      </c>
      <c r="H8" s="245">
        <v>17989</v>
      </c>
      <c r="I8" s="245">
        <v>64243</v>
      </c>
      <c r="J8" s="245">
        <v>167582</v>
      </c>
      <c r="K8" s="61">
        <v>32.958154774430696</v>
      </c>
      <c r="L8" s="245">
        <v>27636</v>
      </c>
      <c r="M8" s="245">
        <v>13365</v>
      </c>
      <c r="N8" s="245">
        <v>34326</v>
      </c>
      <c r="O8" s="61">
        <v>6.7508540343659105</v>
      </c>
      <c r="P8" s="245">
        <v>8845</v>
      </c>
      <c r="Q8" s="245">
        <v>1304</v>
      </c>
      <c r="R8" s="245">
        <v>24100</v>
      </c>
    </row>
    <row r="9" spans="1:19" x14ac:dyDescent="0.25">
      <c r="A9" s="5" t="s">
        <v>297</v>
      </c>
      <c r="B9" s="5" t="s">
        <v>296</v>
      </c>
      <c r="C9" s="241">
        <v>4738333</v>
      </c>
      <c r="D9" s="241">
        <v>1067449</v>
      </c>
      <c r="E9" s="64">
        <v>22.5</v>
      </c>
      <c r="F9" s="241">
        <v>693576</v>
      </c>
      <c r="G9" s="241">
        <v>769520</v>
      </c>
      <c r="H9" s="241">
        <v>177366</v>
      </c>
      <c r="I9" s="241">
        <v>557318</v>
      </c>
      <c r="J9" s="241">
        <v>1218862</v>
      </c>
      <c r="K9" s="64">
        <v>25.7</v>
      </c>
      <c r="L9" s="241">
        <v>254242</v>
      </c>
      <c r="M9" s="241">
        <v>130654</v>
      </c>
      <c r="N9" s="241">
        <v>185736</v>
      </c>
      <c r="O9" s="64">
        <v>3.9</v>
      </c>
      <c r="P9" s="241">
        <v>68781</v>
      </c>
      <c r="Q9" s="241">
        <v>14488</v>
      </c>
      <c r="R9" s="241">
        <v>101721</v>
      </c>
      <c r="S9" s="14"/>
    </row>
    <row r="10" spans="1:19" x14ac:dyDescent="0.25">
      <c r="A10" s="5" t="s">
        <v>299</v>
      </c>
      <c r="B10" s="5" t="s">
        <v>298</v>
      </c>
      <c r="C10" s="241">
        <v>45496780</v>
      </c>
      <c r="D10" s="241">
        <v>10307327</v>
      </c>
      <c r="E10" s="64">
        <v>22.7</v>
      </c>
      <c r="F10" s="241">
        <v>6047384</v>
      </c>
      <c r="G10" s="241">
        <v>6938433</v>
      </c>
      <c r="H10" s="241">
        <v>1631777</v>
      </c>
      <c r="I10" s="241">
        <v>5617802</v>
      </c>
      <c r="J10" s="241">
        <v>12383477</v>
      </c>
      <c r="K10" s="64">
        <v>27.2</v>
      </c>
      <c r="L10" s="241">
        <v>2570580</v>
      </c>
      <c r="M10" s="241">
        <v>1230368</v>
      </c>
      <c r="N10" s="241">
        <v>2485001</v>
      </c>
      <c r="O10" s="64">
        <v>5.5</v>
      </c>
      <c r="P10" s="241">
        <v>836788</v>
      </c>
      <c r="Q10" s="241">
        <v>219756</v>
      </c>
      <c r="R10" s="241">
        <v>1420951</v>
      </c>
      <c r="S10" s="14"/>
    </row>
  </sheetData>
  <mergeCells count="2">
    <mergeCell ref="C1:R1"/>
    <mergeCell ref="A1:B1"/>
  </mergeCells>
  <phoneticPr fontId="13" type="noConversion"/>
  <hyperlinks>
    <hyperlink ref="A1:B1" location="'Data by topic'!A1" display="Click here to return to homepage"/>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W15"/>
  <sheetViews>
    <sheetView workbookViewId="0">
      <pane xSplit="2" ySplit="3" topLeftCell="C4" activePane="bottomRight" state="frozen"/>
      <selection pane="topRight" activeCell="C1" sqref="C1"/>
      <selection pane="bottomLeft" activeCell="A4" sqref="A4"/>
      <selection pane="bottomRight" sqref="A1:B2"/>
    </sheetView>
  </sheetViews>
  <sheetFormatPr defaultColWidth="14.6640625" defaultRowHeight="13.2" x14ac:dyDescent="0.25"/>
  <cols>
    <col min="1" max="1" width="14.6640625" customWidth="1"/>
    <col min="2" max="2" width="31.33203125" bestFit="1" customWidth="1"/>
    <col min="3" max="3" width="14.6640625" customWidth="1"/>
    <col min="4" max="4" width="15.88671875" customWidth="1"/>
    <col min="5" max="20" width="14.6640625" customWidth="1"/>
    <col min="21" max="21" width="14.88671875" style="1" customWidth="1"/>
  </cols>
  <sheetData>
    <row r="1" spans="1:23" s="6" customFormat="1" ht="12.75" customHeight="1" x14ac:dyDescent="0.25">
      <c r="A1" s="344" t="s">
        <v>323</v>
      </c>
      <c r="B1" s="345"/>
      <c r="C1" s="340" t="s">
        <v>6</v>
      </c>
      <c r="D1" s="341"/>
      <c r="E1" s="374" t="s">
        <v>101</v>
      </c>
      <c r="F1" s="375"/>
      <c r="G1" s="375"/>
      <c r="H1" s="375"/>
      <c r="I1" s="375"/>
      <c r="J1" s="375"/>
      <c r="K1" s="375"/>
      <c r="L1" s="375"/>
      <c r="M1" s="375"/>
      <c r="N1" s="375"/>
      <c r="O1" s="375"/>
      <c r="P1" s="375"/>
      <c r="Q1" s="375"/>
      <c r="R1" s="375"/>
      <c r="S1" s="375"/>
      <c r="T1" s="375"/>
      <c r="U1" s="375"/>
      <c r="V1" s="376"/>
    </row>
    <row r="2" spans="1:23" s="16" customFormat="1" ht="42" customHeight="1" x14ac:dyDescent="0.25">
      <c r="A2" s="346"/>
      <c r="B2" s="347"/>
      <c r="C2" s="340" t="s">
        <v>338</v>
      </c>
      <c r="D2" s="341"/>
      <c r="E2" s="371" t="s">
        <v>102</v>
      </c>
      <c r="F2" s="371"/>
      <c r="G2" s="371" t="s">
        <v>36</v>
      </c>
      <c r="H2" s="371"/>
      <c r="I2" s="371" t="s">
        <v>103</v>
      </c>
      <c r="J2" s="371"/>
      <c r="K2" s="371" t="s">
        <v>104</v>
      </c>
      <c r="L2" s="371"/>
      <c r="M2" s="371" t="s">
        <v>105</v>
      </c>
      <c r="N2" s="371"/>
      <c r="O2" s="371" t="s">
        <v>106</v>
      </c>
      <c r="P2" s="371"/>
      <c r="Q2" s="371" t="s">
        <v>107</v>
      </c>
      <c r="R2" s="371"/>
      <c r="S2" s="371" t="s">
        <v>108</v>
      </c>
      <c r="T2" s="371"/>
      <c r="U2" s="372" t="s">
        <v>184</v>
      </c>
      <c r="V2" s="373"/>
    </row>
    <row r="3" spans="1:23" s="24" customFormat="1" ht="51" customHeight="1" x14ac:dyDescent="0.25">
      <c r="A3" s="173" t="s">
        <v>364</v>
      </c>
      <c r="B3" s="173" t="s">
        <v>346</v>
      </c>
      <c r="C3" s="173" t="s">
        <v>5</v>
      </c>
      <c r="D3" s="173" t="s">
        <v>3</v>
      </c>
      <c r="E3" s="173" t="s">
        <v>5</v>
      </c>
      <c r="F3" s="173" t="s">
        <v>3</v>
      </c>
      <c r="G3" s="173" t="s">
        <v>5</v>
      </c>
      <c r="H3" s="173" t="s">
        <v>3</v>
      </c>
      <c r="I3" s="173" t="s">
        <v>5</v>
      </c>
      <c r="J3" s="173" t="s">
        <v>3</v>
      </c>
      <c r="K3" s="173" t="s">
        <v>5</v>
      </c>
      <c r="L3" s="173" t="s">
        <v>3</v>
      </c>
      <c r="M3" s="173" t="s">
        <v>5</v>
      </c>
      <c r="N3" s="173" t="s">
        <v>3</v>
      </c>
      <c r="O3" s="173" t="s">
        <v>5</v>
      </c>
      <c r="P3" s="173" t="s">
        <v>3</v>
      </c>
      <c r="Q3" s="173" t="s">
        <v>5</v>
      </c>
      <c r="R3" s="173" t="s">
        <v>3</v>
      </c>
      <c r="S3" s="173" t="s">
        <v>5</v>
      </c>
      <c r="T3" s="173" t="s">
        <v>3</v>
      </c>
      <c r="U3" s="180" t="s">
        <v>5</v>
      </c>
      <c r="V3" s="173" t="s">
        <v>3</v>
      </c>
    </row>
    <row r="4" spans="1:23" s="7" customFormat="1" x14ac:dyDescent="0.25">
      <c r="A4" s="122" t="s">
        <v>309</v>
      </c>
      <c r="B4" s="20" t="s">
        <v>142</v>
      </c>
      <c r="C4" s="143">
        <v>123867</v>
      </c>
      <c r="D4">
        <v>100</v>
      </c>
      <c r="E4" s="74">
        <v>67743</v>
      </c>
      <c r="F4" s="161">
        <v>54.690111167623336</v>
      </c>
      <c r="G4" s="74">
        <v>39600</v>
      </c>
      <c r="H4" s="161">
        <v>31.969774031824453</v>
      </c>
      <c r="I4" s="74">
        <v>12021</v>
      </c>
      <c r="J4" s="161">
        <v>9.7047639807212587</v>
      </c>
      <c r="K4" s="144">
        <v>4503</v>
      </c>
      <c r="L4" s="161">
        <v>3.6353508198309479</v>
      </c>
      <c r="M4" s="144">
        <v>16064</v>
      </c>
      <c r="N4" s="161">
        <v>12.968748738566365</v>
      </c>
      <c r="O4" s="74">
        <v>7146</v>
      </c>
      <c r="P4" s="161">
        <v>5.769091041197413</v>
      </c>
      <c r="Q4" s="74">
        <v>1042</v>
      </c>
      <c r="R4" s="161">
        <v>0.84122486215053238</v>
      </c>
      <c r="S4" s="74">
        <v>1589</v>
      </c>
      <c r="T4" s="161">
        <v>1.282827548903259</v>
      </c>
      <c r="U4" s="7">
        <v>9777</v>
      </c>
      <c r="V4" s="130">
        <v>7.8931434522512038</v>
      </c>
      <c r="W4" s="160"/>
    </row>
    <row r="5" spans="1:23" s="7" customFormat="1" x14ac:dyDescent="0.25">
      <c r="A5" s="122" t="s">
        <v>84</v>
      </c>
      <c r="B5" s="20" t="s">
        <v>143</v>
      </c>
      <c r="C5" s="143">
        <v>83818</v>
      </c>
      <c r="D5">
        <v>100</v>
      </c>
      <c r="E5" s="74">
        <v>40874</v>
      </c>
      <c r="F5" s="161">
        <v>48.765181703214104</v>
      </c>
      <c r="G5" s="74">
        <v>29487</v>
      </c>
      <c r="H5" s="161">
        <v>35.179794316256654</v>
      </c>
      <c r="I5" s="74">
        <v>10131</v>
      </c>
      <c r="J5" s="161">
        <v>12.086902574625976</v>
      </c>
      <c r="K5" s="144">
        <v>3326</v>
      </c>
      <c r="L5" s="161">
        <v>3.9681214059032666</v>
      </c>
      <c r="M5" s="144">
        <v>12902</v>
      </c>
      <c r="N5" s="161">
        <v>15.392875038774486</v>
      </c>
      <c r="O5" s="74">
        <v>5725</v>
      </c>
      <c r="P5" s="161">
        <v>6.8302751199026455</v>
      </c>
      <c r="Q5" s="74">
        <v>927</v>
      </c>
      <c r="R5" s="161">
        <v>1.105967691903887</v>
      </c>
      <c r="S5" s="74">
        <v>1637</v>
      </c>
      <c r="T5" s="161">
        <v>1.9530411128874468</v>
      </c>
      <c r="U5" s="7">
        <v>8289</v>
      </c>
      <c r="V5" s="130">
        <v>9.889283924693979</v>
      </c>
      <c r="W5" s="160"/>
    </row>
    <row r="6" spans="1:23" s="7" customFormat="1" x14ac:dyDescent="0.25">
      <c r="A6" s="122" t="s">
        <v>85</v>
      </c>
      <c r="B6" s="20" t="s">
        <v>144</v>
      </c>
      <c r="C6" s="143">
        <v>95262</v>
      </c>
      <c r="D6">
        <v>100</v>
      </c>
      <c r="E6" s="74">
        <v>37577</v>
      </c>
      <c r="F6" s="161">
        <v>39.445949066784237</v>
      </c>
      <c r="G6" s="74">
        <v>36042</v>
      </c>
      <c r="H6" s="161">
        <v>37.834603514517859</v>
      </c>
      <c r="I6" s="74">
        <v>15760</v>
      </c>
      <c r="J6" s="161">
        <v>16.543847494278936</v>
      </c>
      <c r="K6" s="144">
        <v>5883</v>
      </c>
      <c r="L6" s="161">
        <v>6.1755999244189708</v>
      </c>
      <c r="M6" s="144">
        <v>20030</v>
      </c>
      <c r="N6" s="161">
        <v>21.026222418173038</v>
      </c>
      <c r="O6" s="74">
        <v>6154</v>
      </c>
      <c r="P6" s="161">
        <v>6.4600785202914066</v>
      </c>
      <c r="Q6" s="74">
        <v>1496</v>
      </c>
      <c r="R6" s="161">
        <v>1.5704058281371378</v>
      </c>
      <c r="S6" s="74">
        <v>2944</v>
      </c>
      <c r="T6" s="161">
        <v>3.0904243034998213</v>
      </c>
      <c r="U6" s="7">
        <v>10594</v>
      </c>
      <c r="V6" s="130">
        <v>11.120908651928366</v>
      </c>
      <c r="W6" s="160"/>
    </row>
    <row r="7" spans="1:23" s="7" customFormat="1" x14ac:dyDescent="0.25">
      <c r="A7" s="124" t="s">
        <v>86</v>
      </c>
      <c r="B7" s="21" t="s">
        <v>145</v>
      </c>
      <c r="C7" s="143">
        <v>169508</v>
      </c>
      <c r="D7">
        <v>100</v>
      </c>
      <c r="E7" s="74">
        <v>82675</v>
      </c>
      <c r="F7" s="161">
        <v>48.773509214904308</v>
      </c>
      <c r="G7" s="74">
        <v>60470</v>
      </c>
      <c r="H7" s="161">
        <v>35.673832503480661</v>
      </c>
      <c r="I7" s="74">
        <v>19682</v>
      </c>
      <c r="J7" s="161">
        <v>11.611251386365245</v>
      </c>
      <c r="K7" s="144">
        <v>6681</v>
      </c>
      <c r="L7" s="161">
        <v>3.941406895249782</v>
      </c>
      <c r="M7" s="144">
        <v>25303</v>
      </c>
      <c r="N7" s="161">
        <v>14.927319064586921</v>
      </c>
      <c r="O7" s="74">
        <v>11150</v>
      </c>
      <c r="P7" s="161">
        <v>6.5778606319465744</v>
      </c>
      <c r="Q7" s="74">
        <v>1911</v>
      </c>
      <c r="R7" s="161">
        <v>1.1273804186233098</v>
      </c>
      <c r="S7" s="74">
        <v>3464</v>
      </c>
      <c r="T7" s="161">
        <v>2.0435613658352407</v>
      </c>
      <c r="U7" s="7">
        <v>16525</v>
      </c>
      <c r="V7" s="130">
        <v>9.748802416405125</v>
      </c>
      <c r="W7" s="160"/>
    </row>
    <row r="8" spans="1:23" s="7" customFormat="1" x14ac:dyDescent="0.25">
      <c r="A8" s="119" t="s">
        <v>87</v>
      </c>
      <c r="B8" s="126" t="s">
        <v>146</v>
      </c>
      <c r="C8" s="143">
        <v>148755</v>
      </c>
      <c r="D8">
        <v>100</v>
      </c>
      <c r="E8" s="74">
        <v>78041</v>
      </c>
      <c r="F8" s="161">
        <v>52.4627743605257</v>
      </c>
      <c r="G8" s="74">
        <v>50147</v>
      </c>
      <c r="H8" s="161">
        <v>33.711135760142518</v>
      </c>
      <c r="I8" s="74">
        <v>15792</v>
      </c>
      <c r="J8" s="161">
        <v>10.616113744075829</v>
      </c>
      <c r="K8" s="144">
        <v>4775</v>
      </c>
      <c r="L8" s="161">
        <v>3.2099761352559577</v>
      </c>
      <c r="M8" s="144">
        <v>20728</v>
      </c>
      <c r="N8" s="161">
        <v>13.934321535410573</v>
      </c>
      <c r="O8" s="74">
        <v>11138</v>
      </c>
      <c r="P8" s="161">
        <v>7.4874794124567243</v>
      </c>
      <c r="Q8" s="74">
        <v>1409</v>
      </c>
      <c r="R8" s="161">
        <v>0.94719505226715062</v>
      </c>
      <c r="S8" s="74">
        <v>2444</v>
      </c>
      <c r="T8" s="161">
        <v>1.6429699842022119</v>
      </c>
      <c r="U8" s="7">
        <v>14991</v>
      </c>
      <c r="V8" s="130">
        <v>10.077644448926087</v>
      </c>
      <c r="W8" s="160"/>
    </row>
    <row r="9" spans="1:23" x14ac:dyDescent="0.25">
      <c r="A9" s="121" t="s">
        <v>295</v>
      </c>
      <c r="B9" s="6" t="s">
        <v>294</v>
      </c>
      <c r="C9" s="143">
        <v>621210</v>
      </c>
      <c r="D9">
        <v>100</v>
      </c>
      <c r="E9" s="6">
        <v>306910</v>
      </c>
      <c r="F9" s="145">
        <v>49.405193090903239</v>
      </c>
      <c r="G9" s="6">
        <v>215746</v>
      </c>
      <c r="H9" s="145">
        <v>34.729962492554847</v>
      </c>
      <c r="I9" s="6">
        <v>73386</v>
      </c>
      <c r="J9" s="145">
        <v>11.81339643598783</v>
      </c>
      <c r="K9" s="142">
        <v>25168</v>
      </c>
      <c r="L9" s="145">
        <v>4.0514479805540802</v>
      </c>
      <c r="M9" s="142">
        <v>95027</v>
      </c>
      <c r="N9" s="145">
        <v>15.297081502229521</v>
      </c>
      <c r="O9" s="6">
        <v>41313</v>
      </c>
      <c r="P9" s="145">
        <v>6.6504080745641572</v>
      </c>
      <c r="Q9" s="6">
        <v>6785</v>
      </c>
      <c r="R9" s="145">
        <v>1.0922232417378985</v>
      </c>
      <c r="S9" s="6">
        <v>12078</v>
      </c>
      <c r="T9" s="145">
        <v>1.944270053605061</v>
      </c>
      <c r="U9">
        <v>60176</v>
      </c>
      <c r="V9" s="64">
        <v>9.6869013699071171</v>
      </c>
      <c r="W9" s="143"/>
    </row>
    <row r="10" spans="1:23" x14ac:dyDescent="0.25">
      <c r="A10" s="5" t="s">
        <v>297</v>
      </c>
      <c r="B10" s="5" t="s">
        <v>296</v>
      </c>
      <c r="C10" s="143">
        <v>5846965</v>
      </c>
      <c r="D10">
        <v>100</v>
      </c>
      <c r="E10" s="6">
        <v>2761271</v>
      </c>
      <c r="F10" s="149">
        <v>47.225714537371097</v>
      </c>
      <c r="G10" s="6">
        <v>2060157</v>
      </c>
      <c r="H10" s="149">
        <v>35.23463882544192</v>
      </c>
      <c r="I10" s="6">
        <v>752324</v>
      </c>
      <c r="J10" s="149">
        <v>12.866914715583214</v>
      </c>
      <c r="K10" s="142">
        <v>273213</v>
      </c>
      <c r="L10" s="149">
        <v>4.6727319216037717</v>
      </c>
      <c r="M10" s="142">
        <v>976514</v>
      </c>
      <c r="N10" s="145">
        <v>16.701211654251395</v>
      </c>
      <c r="O10" s="6">
        <v>395865</v>
      </c>
      <c r="P10" s="149">
        <v>6.7704356020602141</v>
      </c>
      <c r="Q10" s="6">
        <v>71815</v>
      </c>
      <c r="R10" s="149">
        <v>1.228244054821604</v>
      </c>
      <c r="S10" s="6">
        <v>129911</v>
      </c>
      <c r="T10" s="149">
        <v>2.2218535599238236</v>
      </c>
      <c r="U10">
        <v>597591</v>
      </c>
      <c r="V10" s="64">
        <v>10.220533216805643</v>
      </c>
      <c r="W10" s="143"/>
    </row>
    <row r="11" spans="1:23" x14ac:dyDescent="0.25">
      <c r="A11" s="5" t="s">
        <v>299</v>
      </c>
      <c r="B11" s="5" t="s">
        <v>298</v>
      </c>
      <c r="C11" s="143">
        <v>56075912</v>
      </c>
      <c r="D11">
        <v>100</v>
      </c>
      <c r="E11" s="6">
        <v>26434409</v>
      </c>
      <c r="F11" s="149">
        <v>47.140399606875768</v>
      </c>
      <c r="G11" s="6">
        <v>19094820</v>
      </c>
      <c r="H11" s="149">
        <v>34.051733300387518</v>
      </c>
      <c r="I11" s="6">
        <v>7401881</v>
      </c>
      <c r="J11" s="149">
        <v>13.199751436944975</v>
      </c>
      <c r="K11" s="142">
        <v>3144802</v>
      </c>
      <c r="L11" s="149">
        <v>5.6081156557917424</v>
      </c>
      <c r="M11" s="150">
        <v>10048441</v>
      </c>
      <c r="N11" s="145">
        <v>17.919353678991438</v>
      </c>
      <c r="O11" s="6">
        <v>3665072</v>
      </c>
      <c r="P11" s="149">
        <v>6.5359115336367593</v>
      </c>
      <c r="Q11" s="6">
        <v>775189</v>
      </c>
      <c r="R11" s="149">
        <v>1.3823921401403154</v>
      </c>
      <c r="S11" s="6">
        <v>1359985</v>
      </c>
      <c r="T11" s="149">
        <v>2.4252570337152966</v>
      </c>
      <c r="U11">
        <v>5800246</v>
      </c>
      <c r="V11" s="64">
        <v>10.343560707492372</v>
      </c>
      <c r="W11" s="143"/>
    </row>
    <row r="12" spans="1:23" x14ac:dyDescent="0.25">
      <c r="C12" s="154"/>
      <c r="F12" s="154"/>
      <c r="I12" s="154"/>
      <c r="L12" s="154"/>
      <c r="O12" s="154"/>
      <c r="R12" s="154"/>
      <c r="U12" s="154"/>
    </row>
    <row r="14" spans="1:23" x14ac:dyDescent="0.25">
      <c r="A14" s="200"/>
      <c r="B14" s="200"/>
      <c r="C14" s="200"/>
      <c r="D14" s="200"/>
    </row>
    <row r="15" spans="1:23" x14ac:dyDescent="0.25">
      <c r="A15" s="200"/>
      <c r="B15" s="200"/>
      <c r="C15" s="200"/>
      <c r="D15" s="200"/>
    </row>
  </sheetData>
  <mergeCells count="13">
    <mergeCell ref="S2:T2"/>
    <mergeCell ref="A1:B2"/>
    <mergeCell ref="U2:V2"/>
    <mergeCell ref="E1:V1"/>
    <mergeCell ref="E2:F2"/>
    <mergeCell ref="G2:H2"/>
    <mergeCell ref="I2:J2"/>
    <mergeCell ref="K2:L2"/>
    <mergeCell ref="M2:N2"/>
    <mergeCell ref="O2:P2"/>
    <mergeCell ref="Q2:R2"/>
    <mergeCell ref="C1:D1"/>
    <mergeCell ref="C2:D2"/>
  </mergeCells>
  <phoneticPr fontId="4" type="noConversion"/>
  <hyperlinks>
    <hyperlink ref="A1" location="Front!A1" display="Click here to return to homepage"/>
    <hyperlink ref="A1:B2" location="'Data by topic'!A1" display="Click here to return to homepage"/>
  </hyperlinks>
  <pageMargins left="0.75" right="0.75" top="1" bottom="1" header="0.5" footer="0.5"/>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Y12"/>
  <sheetViews>
    <sheetView workbookViewId="0">
      <pane xSplit="2" ySplit="3" topLeftCell="C4" activePane="bottomRight" state="frozen"/>
      <selection pane="topRight" activeCell="C1" sqref="C1"/>
      <selection pane="bottomLeft" activeCell="A4" sqref="A4"/>
      <selection pane="bottomRight" sqref="A1:B2"/>
    </sheetView>
  </sheetViews>
  <sheetFormatPr defaultColWidth="14.6640625" defaultRowHeight="13.2" x14ac:dyDescent="0.25"/>
  <cols>
    <col min="1" max="1" width="14.6640625" customWidth="1"/>
    <col min="2" max="2" width="31.33203125" style="15" bestFit="1" customWidth="1"/>
    <col min="3" max="6" width="14.6640625" customWidth="1"/>
    <col min="7" max="7" width="14.6640625" style="64" customWidth="1"/>
    <col min="8" max="8" width="14.6640625" customWidth="1"/>
    <col min="9" max="9" width="14.6640625" style="64" customWidth="1"/>
    <col min="10" max="10" width="14.6640625" customWidth="1"/>
    <col min="11" max="11" width="14.6640625" style="64" customWidth="1"/>
    <col min="12" max="12" width="14.6640625" customWidth="1"/>
    <col min="13" max="13" width="14.6640625" style="64" customWidth="1"/>
    <col min="14" max="16" width="14.6640625" customWidth="1"/>
    <col min="17" max="17" width="14.6640625" style="64" customWidth="1"/>
    <col min="18" max="18" width="14.6640625" customWidth="1"/>
    <col min="19" max="19" width="14.6640625" style="64" customWidth="1"/>
    <col min="20" max="20" width="14.6640625" customWidth="1"/>
    <col min="21" max="21" width="14.6640625" style="64" customWidth="1"/>
    <col min="22" max="22" width="14.6640625" style="1" customWidth="1"/>
    <col min="23" max="23" width="14.6640625" style="64" customWidth="1"/>
    <col min="24" max="24" width="14.6640625" customWidth="1"/>
    <col min="25" max="25" width="14.6640625" style="64" customWidth="1"/>
  </cols>
  <sheetData>
    <row r="1" spans="1:25" s="12" customFormat="1" ht="12.75" customHeight="1" x14ac:dyDescent="0.25">
      <c r="A1" s="344" t="s">
        <v>326</v>
      </c>
      <c r="B1" s="377"/>
      <c r="C1" s="361" t="s">
        <v>132</v>
      </c>
      <c r="D1" s="361"/>
      <c r="E1" s="361"/>
      <c r="F1" s="361"/>
      <c r="G1" s="361"/>
      <c r="H1" s="361"/>
      <c r="I1" s="361"/>
      <c r="J1" s="361"/>
      <c r="K1" s="361"/>
      <c r="L1" s="361"/>
      <c r="M1" s="361"/>
      <c r="N1" s="361"/>
      <c r="O1" s="361"/>
      <c r="P1" s="361"/>
      <c r="Q1" s="361"/>
      <c r="R1" s="361"/>
      <c r="S1" s="361"/>
      <c r="T1" s="361"/>
      <c r="U1" s="361"/>
      <c r="V1" s="361"/>
      <c r="W1" s="361"/>
      <c r="X1" s="361"/>
      <c r="Y1" s="361"/>
    </row>
    <row r="2" spans="1:25" s="13" customFormat="1" ht="38.25" customHeight="1" x14ac:dyDescent="0.25">
      <c r="A2" s="378"/>
      <c r="B2" s="379"/>
      <c r="C2" s="170" t="s">
        <v>126</v>
      </c>
      <c r="D2" s="361" t="s">
        <v>133</v>
      </c>
      <c r="E2" s="361"/>
      <c r="F2" s="361" t="s">
        <v>134</v>
      </c>
      <c r="G2" s="361"/>
      <c r="H2" s="361" t="s">
        <v>4</v>
      </c>
      <c r="I2" s="361"/>
      <c r="J2" s="361" t="s">
        <v>135</v>
      </c>
      <c r="K2" s="361"/>
      <c r="L2" s="361" t="s">
        <v>136</v>
      </c>
      <c r="M2" s="361"/>
      <c r="N2" s="361" t="s">
        <v>203</v>
      </c>
      <c r="O2" s="361"/>
      <c r="P2" s="361" t="s">
        <v>204</v>
      </c>
      <c r="Q2" s="361"/>
      <c r="R2" s="368" t="s">
        <v>137</v>
      </c>
      <c r="S2" s="368"/>
      <c r="T2" s="368" t="s">
        <v>138</v>
      </c>
      <c r="U2" s="368"/>
      <c r="V2" s="368" t="s">
        <v>347</v>
      </c>
      <c r="W2" s="368"/>
      <c r="X2" s="368" t="s">
        <v>139</v>
      </c>
      <c r="Y2" s="368"/>
    </row>
    <row r="3" spans="1:25" s="12" customFormat="1" ht="39.6" x14ac:dyDescent="0.25">
      <c r="A3" s="173" t="s">
        <v>364</v>
      </c>
      <c r="B3" s="173" t="s">
        <v>346</v>
      </c>
      <c r="C3" s="173" t="s">
        <v>5</v>
      </c>
      <c r="D3" s="173" t="s">
        <v>5</v>
      </c>
      <c r="E3" s="177" t="s">
        <v>3</v>
      </c>
      <c r="F3" s="173" t="s">
        <v>5</v>
      </c>
      <c r="G3" s="177" t="s">
        <v>3</v>
      </c>
      <c r="H3" s="173" t="s">
        <v>5</v>
      </c>
      <c r="I3" s="177" t="s">
        <v>3</v>
      </c>
      <c r="J3" s="173" t="s">
        <v>5</v>
      </c>
      <c r="K3" s="177" t="s">
        <v>3</v>
      </c>
      <c r="L3" s="173" t="s">
        <v>5</v>
      </c>
      <c r="M3" s="177" t="s">
        <v>3</v>
      </c>
      <c r="N3" s="177" t="s">
        <v>5</v>
      </c>
      <c r="O3" s="177" t="s">
        <v>3</v>
      </c>
      <c r="P3" s="173" t="s">
        <v>5</v>
      </c>
      <c r="Q3" s="177" t="s">
        <v>3</v>
      </c>
      <c r="R3" s="173" t="s">
        <v>5</v>
      </c>
      <c r="S3" s="177" t="s">
        <v>3</v>
      </c>
      <c r="T3" s="173" t="s">
        <v>5</v>
      </c>
      <c r="U3" s="177" t="s">
        <v>3</v>
      </c>
      <c r="V3" s="180" t="s">
        <v>5</v>
      </c>
      <c r="W3" s="177" t="s">
        <v>3</v>
      </c>
      <c r="X3" s="173" t="s">
        <v>5</v>
      </c>
      <c r="Y3" s="177" t="s">
        <v>3</v>
      </c>
    </row>
    <row r="4" spans="1:25" x14ac:dyDescent="0.25">
      <c r="A4" s="122" t="s">
        <v>309</v>
      </c>
      <c r="B4" s="20" t="s">
        <v>142</v>
      </c>
      <c r="C4" s="5">
        <v>123867</v>
      </c>
      <c r="D4" s="5">
        <v>82880</v>
      </c>
      <c r="E4" s="123">
        <v>66.910476559535624</v>
      </c>
      <c r="F4" s="5">
        <v>889</v>
      </c>
      <c r="G4" s="64">
        <v>0.71770528066393791</v>
      </c>
      <c r="H4" s="5">
        <v>2517</v>
      </c>
      <c r="I4" s="123">
        <v>2.0320182130833877</v>
      </c>
      <c r="J4" s="5">
        <v>1184</v>
      </c>
      <c r="K4" s="123">
        <v>0.9558639508505089</v>
      </c>
      <c r="L4" s="5">
        <v>16</v>
      </c>
      <c r="M4" s="216">
        <v>1.291708041689877E-2</v>
      </c>
      <c r="N4">
        <v>87486</v>
      </c>
      <c r="O4" s="64">
        <v>70.628981084550375</v>
      </c>
      <c r="P4" s="5">
        <v>1181</v>
      </c>
      <c r="Q4" s="123">
        <v>0.95344199827234055</v>
      </c>
      <c r="R4" s="5">
        <v>7776</v>
      </c>
      <c r="S4" s="123">
        <v>6.2777010826128024</v>
      </c>
      <c r="T4" s="5">
        <v>5341</v>
      </c>
      <c r="U4" s="123">
        <v>4.3118829066660211</v>
      </c>
      <c r="V4" s="1">
        <v>14298</v>
      </c>
      <c r="W4" s="64">
        <v>11.543025987551164</v>
      </c>
      <c r="X4" s="5">
        <v>22083</v>
      </c>
      <c r="Y4" s="123">
        <v>17.827992927898471</v>
      </c>
    </row>
    <row r="5" spans="1:25" x14ac:dyDescent="0.25">
      <c r="A5" s="122" t="s">
        <v>84</v>
      </c>
      <c r="B5" s="20" t="s">
        <v>143</v>
      </c>
      <c r="C5" s="5">
        <v>83818</v>
      </c>
      <c r="D5" s="5">
        <v>73204</v>
      </c>
      <c r="E5" s="123">
        <v>87.336848886873938</v>
      </c>
      <c r="F5" s="5">
        <v>279</v>
      </c>
      <c r="G5" s="64">
        <v>0.33286406261184948</v>
      </c>
      <c r="H5" s="5">
        <v>1389</v>
      </c>
      <c r="I5" s="123">
        <v>1.657161946121358</v>
      </c>
      <c r="J5" s="5">
        <v>701</v>
      </c>
      <c r="K5" s="123">
        <v>0.83633587057672587</v>
      </c>
      <c r="L5" s="5">
        <v>3</v>
      </c>
      <c r="M5" s="216">
        <v>3.5791834689446181E-3</v>
      </c>
      <c r="N5">
        <v>75576</v>
      </c>
      <c r="O5" s="64">
        <v>90.166789949652809</v>
      </c>
      <c r="P5" s="5">
        <v>422</v>
      </c>
      <c r="Q5" s="123">
        <v>0.50347180796487634</v>
      </c>
      <c r="R5" s="5">
        <v>1385</v>
      </c>
      <c r="S5" s="123">
        <v>1.6523897014960987</v>
      </c>
      <c r="T5" s="5">
        <v>1733</v>
      </c>
      <c r="U5" s="123">
        <v>2.0675749838936741</v>
      </c>
      <c r="V5" s="1">
        <v>3540</v>
      </c>
      <c r="W5" s="64">
        <v>4.2234364933546491</v>
      </c>
      <c r="X5" s="5">
        <v>4702</v>
      </c>
      <c r="Y5" s="123">
        <v>5.6097735569925309</v>
      </c>
    </row>
    <row r="6" spans="1:25" x14ac:dyDescent="0.25">
      <c r="A6" s="122" t="s">
        <v>85</v>
      </c>
      <c r="B6" s="20" t="s">
        <v>144</v>
      </c>
      <c r="C6" s="5">
        <v>95262</v>
      </c>
      <c r="D6" s="5">
        <v>85121</v>
      </c>
      <c r="E6" s="123">
        <v>89.354621989880542</v>
      </c>
      <c r="F6" s="5">
        <v>274</v>
      </c>
      <c r="G6" s="64">
        <v>0.28762780542083938</v>
      </c>
      <c r="H6" s="5">
        <v>1071</v>
      </c>
      <c r="I6" s="123">
        <v>1.1242678087799962</v>
      </c>
      <c r="J6" s="5">
        <v>581</v>
      </c>
      <c r="K6" s="123">
        <v>0.60989691587411554</v>
      </c>
      <c r="L6" s="5">
        <v>6</v>
      </c>
      <c r="M6" s="216">
        <v>6.298419096806702E-3</v>
      </c>
      <c r="N6">
        <v>87053</v>
      </c>
      <c r="O6" s="64">
        <v>91.382712939052297</v>
      </c>
      <c r="P6" s="5">
        <v>378</v>
      </c>
      <c r="Q6" s="123">
        <v>0.3968004030988222</v>
      </c>
      <c r="R6" s="5">
        <v>1065</v>
      </c>
      <c r="S6" s="123">
        <v>1.1179693896831895</v>
      </c>
      <c r="T6" s="5">
        <v>4439</v>
      </c>
      <c r="U6" s="123">
        <v>4.6597803951208245</v>
      </c>
      <c r="V6" s="1">
        <v>5882</v>
      </c>
      <c r="W6" s="64">
        <v>6.1745501879028364</v>
      </c>
      <c r="X6" s="5">
        <v>2327</v>
      </c>
      <c r="Y6" s="123">
        <v>2.4427368730448658</v>
      </c>
    </row>
    <row r="7" spans="1:25" x14ac:dyDescent="0.25">
      <c r="A7" s="124" t="s">
        <v>86</v>
      </c>
      <c r="B7" s="21" t="s">
        <v>145</v>
      </c>
      <c r="C7" s="5">
        <v>169508</v>
      </c>
      <c r="D7" s="5">
        <v>147159</v>
      </c>
      <c r="E7" s="123">
        <v>86.815371545885739</v>
      </c>
      <c r="F7" s="5">
        <v>793</v>
      </c>
      <c r="G7" s="64">
        <v>0.46782452745593128</v>
      </c>
      <c r="H7" s="5">
        <v>3357</v>
      </c>
      <c r="I7" s="123">
        <v>1.9804375014748565</v>
      </c>
      <c r="J7" s="5">
        <v>1889</v>
      </c>
      <c r="K7" s="123">
        <v>1.1144016801566887</v>
      </c>
      <c r="L7" s="5">
        <v>8</v>
      </c>
      <c r="M7" s="216">
        <v>4.7195412605894708E-3</v>
      </c>
      <c r="N7">
        <v>153206</v>
      </c>
      <c r="O7" s="64">
        <v>90.382754796233812</v>
      </c>
      <c r="P7" s="5">
        <v>933</v>
      </c>
      <c r="Q7" s="123">
        <v>0.55041649951624705</v>
      </c>
      <c r="R7" s="5">
        <v>2591</v>
      </c>
      <c r="S7" s="123">
        <v>1.5285414257734149</v>
      </c>
      <c r="T7" s="5">
        <v>3500</v>
      </c>
      <c r="U7" s="123">
        <v>2.0647993015078936</v>
      </c>
      <c r="V7" s="1">
        <v>7024</v>
      </c>
      <c r="W7" s="64">
        <v>4.1437572267975549</v>
      </c>
      <c r="X7" s="5">
        <v>9278</v>
      </c>
      <c r="Y7" s="123">
        <v>5.473487976968638</v>
      </c>
    </row>
    <row r="8" spans="1:25" x14ac:dyDescent="0.25">
      <c r="A8" s="119" t="s">
        <v>87</v>
      </c>
      <c r="B8" s="126" t="s">
        <v>146</v>
      </c>
      <c r="C8" s="5">
        <v>148755</v>
      </c>
      <c r="D8" s="5">
        <v>127118</v>
      </c>
      <c r="E8" s="123">
        <v>85.454606567846454</v>
      </c>
      <c r="F8" s="5">
        <v>773</v>
      </c>
      <c r="G8" s="64">
        <v>0.51964639844038862</v>
      </c>
      <c r="H8" s="5">
        <v>2659</v>
      </c>
      <c r="I8" s="123">
        <v>1.7875029410776109</v>
      </c>
      <c r="J8" s="5">
        <v>1623</v>
      </c>
      <c r="K8" s="123">
        <v>1.0910557628315014</v>
      </c>
      <c r="L8" s="5">
        <v>18</v>
      </c>
      <c r="M8" s="216">
        <v>1.2100433598870627E-2</v>
      </c>
      <c r="N8">
        <v>132191</v>
      </c>
      <c r="O8" s="64">
        <v>88.864912103794836</v>
      </c>
      <c r="P8" s="5">
        <v>822</v>
      </c>
      <c r="Q8" s="123">
        <v>0.55258646768175856</v>
      </c>
      <c r="R8" s="5">
        <v>3202</v>
      </c>
      <c r="S8" s="123">
        <v>2.1525326879768749</v>
      </c>
      <c r="T8" s="5">
        <v>2315</v>
      </c>
      <c r="U8" s="123">
        <v>1.5562502100769722</v>
      </c>
      <c r="V8" s="1">
        <v>6339</v>
      </c>
      <c r="W8" s="64">
        <v>4.2613693657356055</v>
      </c>
      <c r="X8" s="5">
        <v>10225</v>
      </c>
      <c r="Y8" s="123">
        <v>6.8737185304695636</v>
      </c>
    </row>
    <row r="9" spans="1:25" x14ac:dyDescent="0.25">
      <c r="A9" s="121" t="s">
        <v>295</v>
      </c>
      <c r="B9" s="6" t="s">
        <v>294</v>
      </c>
      <c r="C9" s="5">
        <v>621210</v>
      </c>
      <c r="D9" s="5">
        <v>515482</v>
      </c>
      <c r="E9" s="123">
        <v>82.980312615701607</v>
      </c>
      <c r="F9" s="5">
        <v>3008</v>
      </c>
      <c r="G9" s="64">
        <v>0.48421628756781121</v>
      </c>
      <c r="H9" s="5">
        <v>10993</v>
      </c>
      <c r="I9" s="123">
        <v>1.7696109206226558</v>
      </c>
      <c r="J9" s="5">
        <v>5978</v>
      </c>
      <c r="K9" s="123">
        <v>0.9623154810772524</v>
      </c>
      <c r="L9" s="5">
        <v>51</v>
      </c>
      <c r="M9" s="216">
        <v>8.2097841309702029E-3</v>
      </c>
      <c r="N9">
        <v>535512</v>
      </c>
      <c r="O9" s="64">
        <v>86.204665089100303</v>
      </c>
      <c r="P9" s="5">
        <v>3736</v>
      </c>
      <c r="Q9" s="123">
        <v>0.60140693163342507</v>
      </c>
      <c r="R9" s="5">
        <v>16019</v>
      </c>
      <c r="S9" s="123">
        <v>2.5786770979217977</v>
      </c>
      <c r="T9" s="5">
        <v>17328</v>
      </c>
      <c r="U9" s="123">
        <v>2.7893948906166997</v>
      </c>
      <c r="V9" s="1">
        <v>37083</v>
      </c>
      <c r="W9" s="64">
        <v>5.9694789201719223</v>
      </c>
      <c r="X9" s="5">
        <v>48615</v>
      </c>
      <c r="Y9" s="123">
        <v>7.8258559907277734</v>
      </c>
    </row>
    <row r="10" spans="1:25" x14ac:dyDescent="0.25">
      <c r="A10" s="5" t="s">
        <v>297</v>
      </c>
      <c r="B10" s="5" t="s">
        <v>296</v>
      </c>
      <c r="C10" s="5">
        <v>5846965</v>
      </c>
      <c r="D10" s="5">
        <v>5062456</v>
      </c>
      <c r="E10" s="123">
        <v>86.582628765521946</v>
      </c>
      <c r="F10" s="5">
        <v>20638</v>
      </c>
      <c r="G10" s="64">
        <v>0.35296944654192391</v>
      </c>
      <c r="H10" s="5">
        <v>77676</v>
      </c>
      <c r="I10" s="123">
        <v>1.328484093884605</v>
      </c>
      <c r="J10" s="5">
        <v>43521</v>
      </c>
      <c r="K10" s="123">
        <v>0.74433488142993842</v>
      </c>
      <c r="L10" s="5">
        <v>459</v>
      </c>
      <c r="M10" s="216">
        <v>7.8502265705370222E-3</v>
      </c>
      <c r="N10">
        <v>5204750</v>
      </c>
      <c r="O10" s="64">
        <v>89.016267413948952</v>
      </c>
      <c r="P10" s="5">
        <v>43682</v>
      </c>
      <c r="Q10" s="123">
        <v>0.74708844674117258</v>
      </c>
      <c r="R10" s="5">
        <v>91708</v>
      </c>
      <c r="S10" s="123">
        <v>1.5684718482152706</v>
      </c>
      <c r="T10" s="5">
        <v>120957</v>
      </c>
      <c r="U10" s="123">
        <v>2.0687142816828903</v>
      </c>
      <c r="V10" s="1">
        <v>256347</v>
      </c>
      <c r="W10" s="64">
        <v>4.3842745766393332</v>
      </c>
      <c r="X10" s="5">
        <v>385868</v>
      </c>
      <c r="Y10" s="123">
        <v>6.5994580094117214</v>
      </c>
    </row>
    <row r="11" spans="1:25" x14ac:dyDescent="0.25">
      <c r="A11" s="5" t="s">
        <v>299</v>
      </c>
      <c r="B11" s="5" t="s">
        <v>298</v>
      </c>
      <c r="C11">
        <v>56075912</v>
      </c>
      <c r="D11">
        <v>44882858</v>
      </c>
      <c r="E11" s="123">
        <v>80.039461507108427</v>
      </c>
      <c r="F11">
        <v>214988</v>
      </c>
      <c r="G11" s="64">
        <v>0.38338743380580242</v>
      </c>
      <c r="H11">
        <v>733218</v>
      </c>
      <c r="I11" s="123">
        <v>1.3075453859760677</v>
      </c>
      <c r="J11">
        <v>2732624</v>
      </c>
      <c r="K11" s="123">
        <v>4.8730799063954588</v>
      </c>
      <c r="L11">
        <v>7214</v>
      </c>
      <c r="M11" s="216">
        <v>1.2864703832190906E-2</v>
      </c>
      <c r="N11">
        <v>48570902</v>
      </c>
      <c r="O11" s="64">
        <v>86.616338937117959</v>
      </c>
      <c r="P11">
        <v>407357</v>
      </c>
      <c r="Q11" s="123">
        <v>0.72643847504432923</v>
      </c>
      <c r="R11">
        <v>921251</v>
      </c>
      <c r="S11" s="123">
        <v>1.6428640518588444</v>
      </c>
      <c r="T11">
        <v>1114368</v>
      </c>
      <c r="U11" s="123">
        <v>1.9872489991781139</v>
      </c>
      <c r="V11" s="1">
        <v>2442976</v>
      </c>
      <c r="W11" s="64">
        <v>4.3565515260812875</v>
      </c>
      <c r="X11">
        <v>5062034</v>
      </c>
      <c r="Y11" s="123">
        <v>9.0271095368007561</v>
      </c>
    </row>
    <row r="12" spans="1:25" x14ac:dyDescent="0.25">
      <c r="E12" s="15"/>
      <c r="G12"/>
      <c r="H12" s="15"/>
      <c r="I12"/>
      <c r="K12" s="15"/>
      <c r="M12"/>
      <c r="N12" s="15"/>
      <c r="Q12" s="15"/>
      <c r="S12"/>
      <c r="T12" s="15"/>
      <c r="U12"/>
      <c r="V12"/>
      <c r="W12" s="15"/>
      <c r="Y12"/>
    </row>
  </sheetData>
  <mergeCells count="13">
    <mergeCell ref="A1:B2"/>
    <mergeCell ref="T2:U2"/>
    <mergeCell ref="X2:Y2"/>
    <mergeCell ref="C1:Y1"/>
    <mergeCell ref="J2:K2"/>
    <mergeCell ref="L2:M2"/>
    <mergeCell ref="P2:Q2"/>
    <mergeCell ref="R2:S2"/>
    <mergeCell ref="N2:O2"/>
    <mergeCell ref="V2:W2"/>
    <mergeCell ref="D2:E2"/>
    <mergeCell ref="F2:G2"/>
    <mergeCell ref="H2:I2"/>
  </mergeCells>
  <phoneticPr fontId="4" type="noConversion"/>
  <hyperlinks>
    <hyperlink ref="A1:A2" location="Front!A1" display="Click here to return to homepage"/>
    <hyperlink ref="A1:B2" location="'Data by topic'!A1" display="Click here to return to homepage"/>
  </hyperlinks>
  <pageMargins left="0.75" right="0.75" top="1" bottom="1" header="0.5" footer="0.5"/>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AM12"/>
  <sheetViews>
    <sheetView zoomScaleNormal="100" workbookViewId="0">
      <pane xSplit="2" ySplit="3" topLeftCell="C4" activePane="bottomRight" state="frozen"/>
      <selection pane="topRight" activeCell="C1" sqref="C1"/>
      <selection pane="bottomLeft" activeCell="A4" sqref="A4"/>
      <selection pane="bottomRight" sqref="A1:B2"/>
    </sheetView>
  </sheetViews>
  <sheetFormatPr defaultColWidth="14.6640625" defaultRowHeight="13.2" x14ac:dyDescent="0.25"/>
  <cols>
    <col min="1" max="1" width="14.6640625" customWidth="1"/>
    <col min="2" max="2" width="31.33203125" bestFit="1" customWidth="1"/>
    <col min="3" max="3" width="17.33203125" customWidth="1"/>
    <col min="4" max="26" width="14.6640625" customWidth="1"/>
    <col min="27" max="27" width="14.6640625" style="64" customWidth="1"/>
    <col min="28" max="28" width="14.109375" style="64" customWidth="1"/>
    <col min="29" max="36" width="14.6640625" style="64" customWidth="1"/>
  </cols>
  <sheetData>
    <row r="1" spans="1:39" s="6" customFormat="1" ht="12.75" customHeight="1" x14ac:dyDescent="0.25">
      <c r="A1" s="344" t="s">
        <v>323</v>
      </c>
      <c r="B1" s="345"/>
      <c r="C1" s="380" t="s">
        <v>154</v>
      </c>
      <c r="D1" s="381"/>
      <c r="E1" s="381"/>
      <c r="F1" s="381"/>
      <c r="G1" s="381"/>
      <c r="H1" s="381"/>
      <c r="I1" s="381"/>
      <c r="J1" s="381"/>
      <c r="K1" s="381"/>
      <c r="L1" s="381"/>
      <c r="M1" s="381"/>
      <c r="N1" s="381"/>
      <c r="O1" s="381"/>
      <c r="P1" s="381"/>
      <c r="Q1" s="381"/>
      <c r="R1" s="381"/>
      <c r="S1" s="381"/>
      <c r="T1" s="381"/>
      <c r="U1" s="382"/>
      <c r="V1" s="342" t="s">
        <v>153</v>
      </c>
      <c r="W1" s="343"/>
      <c r="X1" s="343"/>
      <c r="Y1" s="343"/>
      <c r="Z1" s="343"/>
      <c r="AA1" s="343"/>
      <c r="AB1" s="343"/>
      <c r="AC1" s="343"/>
      <c r="AD1" s="343"/>
      <c r="AE1" s="343"/>
      <c r="AF1" s="343"/>
      <c r="AG1" s="343"/>
      <c r="AH1" s="343"/>
      <c r="AI1" s="343"/>
      <c r="AJ1" s="348"/>
    </row>
    <row r="2" spans="1:39" s="4" customFormat="1" ht="38.25" customHeight="1" x14ac:dyDescent="0.25">
      <c r="A2" s="346"/>
      <c r="B2" s="347"/>
      <c r="C2" s="350" t="s">
        <v>339</v>
      </c>
      <c r="D2" s="351"/>
      <c r="E2" s="352"/>
      <c r="F2" s="350" t="s">
        <v>311</v>
      </c>
      <c r="G2" s="351"/>
      <c r="H2" s="351"/>
      <c r="I2" s="351"/>
      <c r="J2" s="352"/>
      <c r="K2" s="340" t="s">
        <v>155</v>
      </c>
      <c r="L2" s="349"/>
      <c r="M2" s="341"/>
      <c r="N2" s="350" t="s">
        <v>149</v>
      </c>
      <c r="O2" s="351"/>
      <c r="P2" s="351"/>
      <c r="Q2" s="351"/>
      <c r="R2" s="351"/>
      <c r="S2" s="351"/>
      <c r="T2" s="351"/>
      <c r="U2" s="352"/>
      <c r="V2" s="350" t="s">
        <v>312</v>
      </c>
      <c r="W2" s="351"/>
      <c r="X2" s="351"/>
      <c r="Y2" s="351"/>
      <c r="Z2" s="352"/>
      <c r="AA2" s="353" t="s">
        <v>156</v>
      </c>
      <c r="AB2" s="354"/>
      <c r="AC2" s="350" t="s">
        <v>148</v>
      </c>
      <c r="AD2" s="351"/>
      <c r="AE2" s="351"/>
      <c r="AF2" s="351"/>
      <c r="AG2" s="351"/>
      <c r="AH2" s="351"/>
      <c r="AI2" s="351"/>
      <c r="AJ2" s="352"/>
    </row>
    <row r="3" spans="1:39" s="24" customFormat="1" ht="81.75" customHeight="1" x14ac:dyDescent="0.25">
      <c r="A3" s="173" t="s">
        <v>364</v>
      </c>
      <c r="B3" s="173" t="s">
        <v>346</v>
      </c>
      <c r="C3" s="179" t="s">
        <v>151</v>
      </c>
      <c r="D3" s="207" t="s">
        <v>150</v>
      </c>
      <c r="E3" s="179" t="s">
        <v>152</v>
      </c>
      <c r="F3" s="173" t="s">
        <v>50</v>
      </c>
      <c r="G3" s="173" t="s">
        <v>51</v>
      </c>
      <c r="H3" s="173" t="s">
        <v>52</v>
      </c>
      <c r="I3" s="173" t="s">
        <v>140</v>
      </c>
      <c r="J3" s="173" t="s">
        <v>53</v>
      </c>
      <c r="K3" s="173" t="s">
        <v>54</v>
      </c>
      <c r="L3" s="173" t="s">
        <v>310</v>
      </c>
      <c r="M3" s="173" t="s">
        <v>55</v>
      </c>
      <c r="N3" s="179" t="s">
        <v>304</v>
      </c>
      <c r="O3" s="173" t="s">
        <v>56</v>
      </c>
      <c r="P3" s="173" t="s">
        <v>57</v>
      </c>
      <c r="Q3" s="173" t="s">
        <v>63</v>
      </c>
      <c r="R3" s="173" t="s">
        <v>58</v>
      </c>
      <c r="S3" s="173" t="s">
        <v>59</v>
      </c>
      <c r="T3" s="173" t="s">
        <v>60</v>
      </c>
      <c r="U3" s="173" t="s">
        <v>61</v>
      </c>
      <c r="V3" s="173" t="s">
        <v>50</v>
      </c>
      <c r="W3" s="173" t="s">
        <v>51</v>
      </c>
      <c r="X3" s="173" t="s">
        <v>52</v>
      </c>
      <c r="Y3" s="173" t="s">
        <v>140</v>
      </c>
      <c r="Z3" s="173" t="s">
        <v>53</v>
      </c>
      <c r="AA3" s="177" t="s">
        <v>54</v>
      </c>
      <c r="AB3" s="177" t="s">
        <v>310</v>
      </c>
      <c r="AC3" s="177" t="s">
        <v>304</v>
      </c>
      <c r="AD3" s="177" t="s">
        <v>56</v>
      </c>
      <c r="AE3" s="177" t="s">
        <v>57</v>
      </c>
      <c r="AF3" s="177" t="s">
        <v>63</v>
      </c>
      <c r="AG3" s="177" t="s">
        <v>58</v>
      </c>
      <c r="AH3" s="177" t="s">
        <v>59</v>
      </c>
      <c r="AI3" s="177" t="s">
        <v>60</v>
      </c>
      <c r="AJ3" s="177" t="s">
        <v>61</v>
      </c>
    </row>
    <row r="4" spans="1:39" x14ac:dyDescent="0.25">
      <c r="A4" s="122" t="s">
        <v>309</v>
      </c>
      <c r="B4" s="20" t="s">
        <v>142</v>
      </c>
      <c r="C4" s="138">
        <v>46714</v>
      </c>
      <c r="D4" s="120">
        <v>48835</v>
      </c>
      <c r="E4" s="138">
        <v>48288</v>
      </c>
      <c r="F4" s="147">
        <v>4890</v>
      </c>
      <c r="G4" s="147">
        <v>12681</v>
      </c>
      <c r="H4" s="147">
        <v>14041</v>
      </c>
      <c r="I4" s="147">
        <v>14510</v>
      </c>
      <c r="J4" s="147">
        <v>80</v>
      </c>
      <c r="K4" s="147">
        <v>1196</v>
      </c>
      <c r="L4" s="147">
        <v>2697</v>
      </c>
      <c r="M4" s="148">
        <v>2.2999999999999998</v>
      </c>
      <c r="N4" s="1">
        <v>22697</v>
      </c>
      <c r="O4" s="147">
        <v>11639</v>
      </c>
      <c r="P4" s="147">
        <v>10532</v>
      </c>
      <c r="Q4" s="147">
        <v>526</v>
      </c>
      <c r="R4" s="147">
        <v>7109</v>
      </c>
      <c r="S4" s="147">
        <v>3914</v>
      </c>
      <c r="T4" s="147">
        <v>12258</v>
      </c>
      <c r="U4" s="147">
        <v>736</v>
      </c>
      <c r="V4" s="152">
        <v>10.467953932439954</v>
      </c>
      <c r="W4" s="148">
        <v>27.146037590443978</v>
      </c>
      <c r="X4" s="148">
        <v>30.057370381470221</v>
      </c>
      <c r="Y4" s="145">
        <v>31.061352057199127</v>
      </c>
      <c r="Z4" s="148">
        <v>0.17125487006036733</v>
      </c>
      <c r="AA4" s="64">
        <v>2.5602603074024914</v>
      </c>
      <c r="AB4" s="148">
        <v>5.5852385685884691</v>
      </c>
      <c r="AC4" s="64">
        <v>48.587147322001968</v>
      </c>
      <c r="AD4" s="148">
        <v>24.915442907907696</v>
      </c>
      <c r="AE4" s="148">
        <v>22.545703643447361</v>
      </c>
      <c r="AF4" s="148">
        <v>1.1260007706469153</v>
      </c>
      <c r="AG4" s="148">
        <v>15.218135890739394</v>
      </c>
      <c r="AH4" s="148">
        <v>8.3786445177034725</v>
      </c>
      <c r="AI4" s="148">
        <v>26.240527464999786</v>
      </c>
      <c r="AJ4" s="148">
        <v>1.5755448045553795</v>
      </c>
    </row>
    <row r="5" spans="1:39" x14ac:dyDescent="0.25">
      <c r="A5" s="122" t="s">
        <v>84</v>
      </c>
      <c r="B5" s="20" t="s">
        <v>143</v>
      </c>
      <c r="C5" s="138">
        <v>34614</v>
      </c>
      <c r="D5" s="120">
        <v>35760</v>
      </c>
      <c r="E5" s="138">
        <v>35747</v>
      </c>
      <c r="F5" s="147">
        <v>14696</v>
      </c>
      <c r="G5" s="147">
        <v>11079</v>
      </c>
      <c r="H5" s="147">
        <v>6085</v>
      </c>
      <c r="I5" s="147">
        <v>2421</v>
      </c>
      <c r="J5" s="147">
        <v>321</v>
      </c>
      <c r="K5" s="147">
        <v>598</v>
      </c>
      <c r="L5" s="147">
        <v>806</v>
      </c>
      <c r="M5" s="148">
        <v>2.4</v>
      </c>
      <c r="N5" s="1">
        <v>24225</v>
      </c>
      <c r="O5" s="147">
        <v>11145</v>
      </c>
      <c r="P5" s="147">
        <v>12574</v>
      </c>
      <c r="Q5" s="147">
        <v>506</v>
      </c>
      <c r="R5" s="147">
        <v>457</v>
      </c>
      <c r="S5" s="147">
        <v>4487</v>
      </c>
      <c r="T5" s="147">
        <v>4576</v>
      </c>
      <c r="U5" s="147">
        <v>869</v>
      </c>
      <c r="V5" s="152">
        <v>42.456809383486451</v>
      </c>
      <c r="W5" s="148">
        <v>32.00728029121165</v>
      </c>
      <c r="X5" s="148">
        <v>17.579592072571792</v>
      </c>
      <c r="Y5" s="145">
        <v>6.9942797711908478</v>
      </c>
      <c r="Z5" s="148">
        <v>0.92737042815045934</v>
      </c>
      <c r="AA5" s="64">
        <v>1.7276246605419772</v>
      </c>
      <c r="AB5" s="148">
        <v>2.2547346630486476</v>
      </c>
      <c r="AC5" s="64">
        <v>69.986132778644489</v>
      </c>
      <c r="AD5" s="148">
        <v>32.197954584850059</v>
      </c>
      <c r="AE5" s="148">
        <v>36.326341942566593</v>
      </c>
      <c r="AF5" s="148">
        <v>1.4618362512278269</v>
      </c>
      <c r="AG5" s="148">
        <v>1.3202750332235511</v>
      </c>
      <c r="AH5" s="148">
        <v>12.962962962962962</v>
      </c>
      <c r="AI5" s="148">
        <v>13.220084358929912</v>
      </c>
      <c r="AJ5" s="148">
        <v>2.5105448662390941</v>
      </c>
    </row>
    <row r="6" spans="1:39" x14ac:dyDescent="0.25">
      <c r="A6" s="122" t="s">
        <v>85</v>
      </c>
      <c r="B6" s="20" t="s">
        <v>144</v>
      </c>
      <c r="C6" s="138">
        <v>40620</v>
      </c>
      <c r="D6" s="120">
        <v>42124</v>
      </c>
      <c r="E6" s="138">
        <v>42087</v>
      </c>
      <c r="F6" s="147">
        <v>18596</v>
      </c>
      <c r="G6" s="147">
        <v>11872</v>
      </c>
      <c r="H6" s="147">
        <v>6370</v>
      </c>
      <c r="I6" s="147">
        <v>3415</v>
      </c>
      <c r="J6" s="147">
        <v>319</v>
      </c>
      <c r="K6" s="147">
        <v>822</v>
      </c>
      <c r="L6" s="147">
        <v>1380</v>
      </c>
      <c r="M6" s="148">
        <v>2.2999999999999998</v>
      </c>
      <c r="N6" s="1">
        <v>28641</v>
      </c>
      <c r="O6" s="147">
        <v>14490</v>
      </c>
      <c r="P6" s="147">
        <v>13946</v>
      </c>
      <c r="Q6" s="147">
        <v>205</v>
      </c>
      <c r="R6" s="147">
        <v>895</v>
      </c>
      <c r="S6" s="147">
        <v>4159</v>
      </c>
      <c r="T6" s="147">
        <v>6341</v>
      </c>
      <c r="U6" s="147">
        <v>584</v>
      </c>
      <c r="V6" s="152">
        <v>45.780403741999017</v>
      </c>
      <c r="W6" s="148">
        <v>29.226981782373212</v>
      </c>
      <c r="X6" s="148">
        <v>15.681930083702609</v>
      </c>
      <c r="Y6" s="145">
        <v>8.4071885770556385</v>
      </c>
      <c r="Z6" s="148">
        <v>0.78532742491383556</v>
      </c>
      <c r="AA6" s="64">
        <v>2.0236336779911372</v>
      </c>
      <c r="AB6" s="148">
        <v>3.2789222325183545</v>
      </c>
      <c r="AC6" s="64">
        <v>70.509601181683905</v>
      </c>
      <c r="AD6" s="148">
        <v>35.672082717872975</v>
      </c>
      <c r="AE6" s="148">
        <v>34.332840965041846</v>
      </c>
      <c r="AF6" s="148">
        <v>0.50467749876907919</v>
      </c>
      <c r="AG6" s="148">
        <v>2.2033481043820777</v>
      </c>
      <c r="AH6" s="148">
        <v>10.238798621368783</v>
      </c>
      <c r="AI6" s="148">
        <v>15.610536681437715</v>
      </c>
      <c r="AJ6" s="148">
        <v>1.4377154111275234</v>
      </c>
    </row>
    <row r="7" spans="1:39" x14ac:dyDescent="0.25">
      <c r="A7" s="124" t="s">
        <v>86</v>
      </c>
      <c r="B7" s="21" t="s">
        <v>145</v>
      </c>
      <c r="C7" s="138">
        <v>69333</v>
      </c>
      <c r="D7" s="120">
        <v>71414</v>
      </c>
      <c r="E7" s="138">
        <v>71399</v>
      </c>
      <c r="F7" s="147">
        <v>28013</v>
      </c>
      <c r="G7" s="147">
        <v>20929</v>
      </c>
      <c r="H7" s="147">
        <v>13094</v>
      </c>
      <c r="I7" s="147">
        <v>6846</v>
      </c>
      <c r="J7" s="147">
        <v>431</v>
      </c>
      <c r="K7" s="147">
        <v>1292</v>
      </c>
      <c r="L7" s="147">
        <v>1657</v>
      </c>
      <c r="M7" s="148">
        <v>2.4</v>
      </c>
      <c r="N7" s="1">
        <v>49906</v>
      </c>
      <c r="O7" s="147">
        <v>22171</v>
      </c>
      <c r="P7" s="147">
        <v>27227</v>
      </c>
      <c r="Q7" s="147">
        <v>508</v>
      </c>
      <c r="R7" s="147">
        <v>1811</v>
      </c>
      <c r="S7" s="147">
        <v>7128</v>
      </c>
      <c r="T7" s="147">
        <v>9770</v>
      </c>
      <c r="U7" s="147">
        <v>718</v>
      </c>
      <c r="V7" s="152">
        <v>40.403559632498229</v>
      </c>
      <c r="W7" s="148">
        <v>30.18620281828278</v>
      </c>
      <c r="X7" s="148">
        <v>18.885667719556341</v>
      </c>
      <c r="Y7" s="145">
        <v>9.874085933105448</v>
      </c>
      <c r="Z7" s="148">
        <v>0.62163760402694246</v>
      </c>
      <c r="AA7" s="64">
        <v>1.8634704974543146</v>
      </c>
      <c r="AB7" s="148">
        <v>2.3207607949691171</v>
      </c>
      <c r="AC7" s="64">
        <v>71.980153750739191</v>
      </c>
      <c r="AD7" s="148">
        <v>31.977557584411464</v>
      </c>
      <c r="AE7" s="148">
        <v>39.269900336059308</v>
      </c>
      <c r="AF7" s="148">
        <v>0.73269583026841478</v>
      </c>
      <c r="AG7" s="148">
        <v>2.6120317886143685</v>
      </c>
      <c r="AH7" s="148">
        <v>10.280818657782008</v>
      </c>
      <c r="AI7" s="148">
        <v>14.091413901028371</v>
      </c>
      <c r="AJ7" s="148">
        <v>1.0355819018360666</v>
      </c>
    </row>
    <row r="8" spans="1:39" x14ac:dyDescent="0.25">
      <c r="A8" s="119" t="s">
        <v>87</v>
      </c>
      <c r="B8" s="126" t="s">
        <v>146</v>
      </c>
      <c r="C8" s="138">
        <v>59960</v>
      </c>
      <c r="D8" s="151">
        <v>61751</v>
      </c>
      <c r="E8" s="138">
        <v>61724</v>
      </c>
      <c r="F8" s="147">
        <v>24932</v>
      </c>
      <c r="G8" s="147">
        <v>20220</v>
      </c>
      <c r="H8" s="147">
        <v>10577</v>
      </c>
      <c r="I8" s="147">
        <v>3585</v>
      </c>
      <c r="J8" s="147">
        <v>623</v>
      </c>
      <c r="K8" s="147">
        <v>908</v>
      </c>
      <c r="L8" s="147">
        <v>1317</v>
      </c>
      <c r="M8" s="148">
        <v>2.4</v>
      </c>
      <c r="N8" s="1">
        <v>43387</v>
      </c>
      <c r="O8" s="147">
        <v>20759</v>
      </c>
      <c r="P8" s="147">
        <v>21370</v>
      </c>
      <c r="Q8" s="147">
        <v>1258</v>
      </c>
      <c r="R8" s="147">
        <v>5464</v>
      </c>
      <c r="S8" s="147">
        <v>3082</v>
      </c>
      <c r="T8" s="147">
        <v>7174</v>
      </c>
      <c r="U8" s="147">
        <v>853</v>
      </c>
      <c r="V8" s="152">
        <v>41.581054036024021</v>
      </c>
      <c r="W8" s="148">
        <v>33.722481654436294</v>
      </c>
      <c r="X8" s="148">
        <v>17.640093395597063</v>
      </c>
      <c r="Y8" s="145">
        <v>5.9789859906604406</v>
      </c>
      <c r="Z8" s="148">
        <v>1.0390260173448966</v>
      </c>
      <c r="AA8" s="64">
        <v>1.514342895263509</v>
      </c>
      <c r="AB8" s="148">
        <v>2.1336919188646228</v>
      </c>
      <c r="AC8" s="64">
        <v>72.359906604402937</v>
      </c>
      <c r="AD8" s="148">
        <v>34.621414276184119</v>
      </c>
      <c r="AE8" s="148">
        <v>35.640426951300867</v>
      </c>
      <c r="AF8" s="148">
        <v>2.0980653769179454</v>
      </c>
      <c r="AG8" s="148">
        <v>9.112741827885257</v>
      </c>
      <c r="AH8" s="148">
        <v>5.1400933955970647</v>
      </c>
      <c r="AI8" s="148">
        <v>11.964643095396932</v>
      </c>
      <c r="AJ8" s="148">
        <v>1.4226150767178121</v>
      </c>
    </row>
    <row r="9" spans="1:39" x14ac:dyDescent="0.25">
      <c r="A9" s="121" t="s">
        <v>295</v>
      </c>
      <c r="B9" s="6" t="s">
        <v>294</v>
      </c>
      <c r="C9" s="138">
        <v>251241</v>
      </c>
      <c r="D9" s="22">
        <v>259884</v>
      </c>
      <c r="E9" s="138">
        <v>259245</v>
      </c>
      <c r="F9" s="22">
        <v>91127</v>
      </c>
      <c r="G9" s="153">
        <v>76781</v>
      </c>
      <c r="H9" s="22">
        <v>50167</v>
      </c>
      <c r="I9" s="22">
        <v>30777</v>
      </c>
      <c r="J9" s="22">
        <v>1774</v>
      </c>
      <c r="K9" s="22">
        <v>4816</v>
      </c>
      <c r="L9" s="22">
        <v>7857</v>
      </c>
      <c r="M9" s="152">
        <v>2.4</v>
      </c>
      <c r="N9" s="1">
        <v>168856</v>
      </c>
      <c r="O9" s="22">
        <v>80204</v>
      </c>
      <c r="P9" s="22">
        <v>85649</v>
      </c>
      <c r="Q9" s="22">
        <v>3003</v>
      </c>
      <c r="R9" s="22">
        <v>15736</v>
      </c>
      <c r="S9" s="22">
        <v>22770</v>
      </c>
      <c r="T9" s="22">
        <v>40119</v>
      </c>
      <c r="U9" s="22">
        <v>3760</v>
      </c>
      <c r="V9" s="152">
        <v>36.27075198713586</v>
      </c>
      <c r="W9" s="148">
        <v>30.560696701573391</v>
      </c>
      <c r="X9" s="148">
        <v>19.967680434324013</v>
      </c>
      <c r="Y9" s="145">
        <v>12.249991044455323</v>
      </c>
      <c r="Z9" s="148">
        <v>0.70609494469453626</v>
      </c>
      <c r="AA9" s="64">
        <v>1.9168845849204548</v>
      </c>
      <c r="AB9" s="148">
        <v>3.0307238326679395</v>
      </c>
      <c r="AC9" s="64">
        <v>67.208775637734291</v>
      </c>
      <c r="AD9" s="148">
        <v>31.923133564983424</v>
      </c>
      <c r="AE9" s="148">
        <v>34.090375376630405</v>
      </c>
      <c r="AF9" s="148">
        <v>1.1952666961204581</v>
      </c>
      <c r="AG9" s="148">
        <v>6.2633089344493937</v>
      </c>
      <c r="AH9" s="148">
        <v>9.0630112123419337</v>
      </c>
      <c r="AI9" s="148">
        <v>15.968333194024861</v>
      </c>
      <c r="AJ9" s="148">
        <v>1.4965710214495247</v>
      </c>
    </row>
    <row r="10" spans="1:39" x14ac:dyDescent="0.25">
      <c r="A10" s="5" t="s">
        <v>297</v>
      </c>
      <c r="B10" s="5" t="s">
        <v>296</v>
      </c>
      <c r="C10" s="138">
        <v>2423035</v>
      </c>
      <c r="D10" s="22">
        <v>2535498</v>
      </c>
      <c r="E10" s="138">
        <v>2531907</v>
      </c>
      <c r="F10" s="147">
        <v>716515</v>
      </c>
      <c r="G10" s="153">
        <v>748242</v>
      </c>
      <c r="H10" s="147">
        <v>552945</v>
      </c>
      <c r="I10" s="147">
        <v>388248</v>
      </c>
      <c r="J10" s="147">
        <v>13427</v>
      </c>
      <c r="K10" s="147">
        <v>48711</v>
      </c>
      <c r="L10" s="147">
        <v>86102</v>
      </c>
      <c r="M10" s="152">
        <v>2.4</v>
      </c>
      <c r="N10" s="1">
        <v>1655621</v>
      </c>
      <c r="O10" s="147">
        <v>797019</v>
      </c>
      <c r="P10" s="147">
        <v>840842</v>
      </c>
      <c r="Q10" s="147">
        <v>17760</v>
      </c>
      <c r="R10" s="147">
        <v>188886</v>
      </c>
      <c r="S10" s="147">
        <v>191445</v>
      </c>
      <c r="T10" s="22">
        <v>356227</v>
      </c>
      <c r="U10" s="147">
        <v>30856</v>
      </c>
      <c r="V10" s="152">
        <v>29.570971942212971</v>
      </c>
      <c r="W10" s="148">
        <v>30.880362850722339</v>
      </c>
      <c r="X10" s="148">
        <v>22.820347209181875</v>
      </c>
      <c r="Y10" s="145">
        <v>16.023210560309696</v>
      </c>
      <c r="Z10" s="152">
        <v>0.5541397462273554</v>
      </c>
      <c r="AA10" s="64">
        <v>2.010330019995584</v>
      </c>
      <c r="AB10" s="148">
        <v>3.5534773538145341</v>
      </c>
      <c r="AC10" s="64">
        <v>68.32839806276013</v>
      </c>
      <c r="AD10" s="148">
        <v>32.893416727368773</v>
      </c>
      <c r="AE10" s="148">
        <v>34.702016272979961</v>
      </c>
      <c r="AF10" s="148">
        <v>0.73296506241139725</v>
      </c>
      <c r="AG10" s="148">
        <v>7.7954301114098641</v>
      </c>
      <c r="AH10" s="148">
        <v>7.9010414624633984</v>
      </c>
      <c r="AI10" s="148">
        <v>14.701686108537434</v>
      </c>
      <c r="AJ10" s="148">
        <v>1.2734442548291709</v>
      </c>
    </row>
    <row r="11" spans="1:39" x14ac:dyDescent="0.25">
      <c r="A11" s="5" t="s">
        <v>299</v>
      </c>
      <c r="B11" s="5" t="s">
        <v>298</v>
      </c>
      <c r="C11" s="138">
        <v>23366044</v>
      </c>
      <c r="D11" s="22">
        <v>24429618</v>
      </c>
      <c r="E11" s="138">
        <v>24359880</v>
      </c>
      <c r="F11" s="147">
        <v>5310357</v>
      </c>
      <c r="G11" s="153">
        <v>7304321</v>
      </c>
      <c r="H11" s="147">
        <v>5757140</v>
      </c>
      <c r="I11" s="147">
        <v>4829325</v>
      </c>
      <c r="J11" s="147">
        <v>84966</v>
      </c>
      <c r="K11" s="147">
        <v>624095</v>
      </c>
      <c r="L11" s="154">
        <v>1100606</v>
      </c>
      <c r="M11" s="152">
        <v>2.4</v>
      </c>
      <c r="N11" s="1">
        <v>15031914</v>
      </c>
      <c r="O11" s="147">
        <v>7206954</v>
      </c>
      <c r="P11" s="147">
        <v>7646724</v>
      </c>
      <c r="Q11" s="147">
        <v>178236</v>
      </c>
      <c r="R11" s="147">
        <v>2208080</v>
      </c>
      <c r="S11" s="147">
        <v>1910381</v>
      </c>
      <c r="T11" s="22">
        <v>3900178</v>
      </c>
      <c r="U11" s="22">
        <v>315491</v>
      </c>
      <c r="V11" s="152">
        <v>22.726812463419137</v>
      </c>
      <c r="W11" s="148">
        <v>31.260409335872176</v>
      </c>
      <c r="X11" s="148">
        <v>24.63891619822337</v>
      </c>
      <c r="Y11" s="145">
        <v>20.668132782768019</v>
      </c>
      <c r="Z11" s="152">
        <v>0.36363023197251532</v>
      </c>
      <c r="AA11" s="64">
        <v>2.6709484926074776</v>
      </c>
      <c r="AB11" s="148">
        <v>4.7102795834844784</v>
      </c>
      <c r="AC11" s="64">
        <v>64.332302036236854</v>
      </c>
      <c r="AD11" s="148">
        <v>30.843706362959857</v>
      </c>
      <c r="AE11" s="148">
        <v>32.725796459169551</v>
      </c>
      <c r="AF11" s="148">
        <v>0.76279921410744589</v>
      </c>
      <c r="AG11" s="148">
        <v>9.449952246944326</v>
      </c>
      <c r="AH11" s="148">
        <v>8.175885485792973</v>
      </c>
      <c r="AI11" s="148">
        <v>16.691648787445576</v>
      </c>
      <c r="AJ11" s="148">
        <v>1.3502114435802655</v>
      </c>
    </row>
    <row r="12" spans="1:39" x14ac:dyDescent="0.25">
      <c r="C12" s="17"/>
      <c r="D12" s="17"/>
      <c r="G12" s="17"/>
      <c r="H12" s="17"/>
      <c r="K12" s="17"/>
      <c r="L12" s="17"/>
      <c r="O12" s="17"/>
      <c r="P12" s="17"/>
      <c r="S12" s="17"/>
      <c r="T12" s="17"/>
      <c r="W12" s="17"/>
      <c r="X12" s="17"/>
      <c r="AB12" s="17"/>
      <c r="AD12"/>
      <c r="AE12" s="17"/>
      <c r="AF12" s="17"/>
      <c r="AG12"/>
      <c r="AH12"/>
      <c r="AI12" s="17"/>
      <c r="AJ12" s="17"/>
      <c r="AM12" s="17"/>
    </row>
  </sheetData>
  <mergeCells count="10">
    <mergeCell ref="F2:J2"/>
    <mergeCell ref="C1:U1"/>
    <mergeCell ref="C2:E2"/>
    <mergeCell ref="A1:B2"/>
    <mergeCell ref="V1:AJ1"/>
    <mergeCell ref="K2:M2"/>
    <mergeCell ref="AA2:AB2"/>
    <mergeCell ref="V2:Z2"/>
    <mergeCell ref="N2:U2"/>
    <mergeCell ref="AC2:AJ2"/>
  </mergeCells>
  <phoneticPr fontId="4" type="noConversion"/>
  <hyperlinks>
    <hyperlink ref="A1:A2" location="Front!A1" display="Click here to return to homepage"/>
    <hyperlink ref="A1:B2" location="'Data by topic'!A1" display="Click here to return to homepage"/>
  </hyperlinks>
  <pageMargins left="0.75" right="0.75" top="1" bottom="1" header="0.5" footer="0.5"/>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AA15"/>
  <sheetViews>
    <sheetView workbookViewId="0">
      <pane xSplit="2" ySplit="3" topLeftCell="C4" activePane="bottomRight" state="frozen"/>
      <selection pane="topRight" activeCell="C1" sqref="C1"/>
      <selection pane="bottomLeft" activeCell="A4" sqref="A4"/>
      <selection pane="bottomRight" sqref="A1:B2"/>
    </sheetView>
  </sheetViews>
  <sheetFormatPr defaultColWidth="14.6640625" defaultRowHeight="13.2" x14ac:dyDescent="0.25"/>
  <cols>
    <col min="1" max="1" width="14.6640625" customWidth="1"/>
    <col min="2" max="2" width="31.33203125" bestFit="1" customWidth="1"/>
    <col min="3" max="15" width="14.6640625" customWidth="1"/>
    <col min="16" max="27" width="14.6640625" style="64" customWidth="1"/>
  </cols>
  <sheetData>
    <row r="1" spans="1:27" s="6" customFormat="1" ht="12.75" customHeight="1" x14ac:dyDescent="0.25">
      <c r="A1" s="383" t="s">
        <v>323</v>
      </c>
      <c r="B1" s="357"/>
      <c r="C1" s="343" t="s">
        <v>111</v>
      </c>
      <c r="D1" s="343"/>
      <c r="E1" s="343"/>
      <c r="F1" s="343"/>
      <c r="G1" s="343"/>
      <c r="H1" s="343"/>
      <c r="I1" s="343"/>
      <c r="J1" s="343"/>
      <c r="K1" s="343"/>
      <c r="L1" s="343"/>
      <c r="M1" s="343"/>
      <c r="N1" s="343"/>
      <c r="O1" s="348"/>
      <c r="P1" s="385" t="s">
        <v>112</v>
      </c>
      <c r="Q1" s="386"/>
      <c r="R1" s="386"/>
      <c r="S1" s="386"/>
      <c r="T1" s="386"/>
      <c r="U1" s="386"/>
      <c r="V1" s="386"/>
      <c r="W1" s="386"/>
      <c r="X1" s="386"/>
      <c r="Y1" s="386"/>
      <c r="Z1" s="386"/>
      <c r="AA1" s="387"/>
    </row>
    <row r="2" spans="1:27" s="4" customFormat="1" ht="38.25" customHeight="1" x14ac:dyDescent="0.25">
      <c r="A2" s="384"/>
      <c r="B2" s="357"/>
      <c r="C2" s="351" t="s">
        <v>64</v>
      </c>
      <c r="D2" s="351"/>
      <c r="E2" s="351"/>
      <c r="F2" s="352"/>
      <c r="G2" s="350" t="s">
        <v>66</v>
      </c>
      <c r="H2" s="351"/>
      <c r="I2" s="351"/>
      <c r="J2" s="351"/>
      <c r="K2" s="352"/>
      <c r="L2" s="340" t="s">
        <v>71</v>
      </c>
      <c r="M2" s="349"/>
      <c r="N2" s="349"/>
      <c r="O2" s="341"/>
      <c r="P2" s="337" t="s">
        <v>64</v>
      </c>
      <c r="Q2" s="338"/>
      <c r="R2" s="338"/>
      <c r="S2" s="339"/>
      <c r="T2" s="337" t="s">
        <v>66</v>
      </c>
      <c r="U2" s="338"/>
      <c r="V2" s="338"/>
      <c r="W2" s="338"/>
      <c r="X2" s="339"/>
      <c r="Y2" s="353" t="s">
        <v>71</v>
      </c>
      <c r="Z2" s="355"/>
      <c r="AA2" s="354"/>
    </row>
    <row r="3" spans="1:27" s="3" customFormat="1" ht="51" customHeight="1" x14ac:dyDescent="0.25">
      <c r="A3" s="173" t="s">
        <v>364</v>
      </c>
      <c r="B3" s="173" t="s">
        <v>346</v>
      </c>
      <c r="C3" s="182" t="s">
        <v>91</v>
      </c>
      <c r="D3" s="173" t="s">
        <v>65</v>
      </c>
      <c r="E3" s="173" t="s">
        <v>68</v>
      </c>
      <c r="F3" s="173" t="s">
        <v>72</v>
      </c>
      <c r="G3" s="173" t="s">
        <v>67</v>
      </c>
      <c r="H3" s="173" t="s">
        <v>68</v>
      </c>
      <c r="I3" s="173" t="s">
        <v>69</v>
      </c>
      <c r="J3" s="173" t="s">
        <v>70</v>
      </c>
      <c r="K3" s="173" t="s">
        <v>48</v>
      </c>
      <c r="L3" s="185" t="s">
        <v>73</v>
      </c>
      <c r="M3" s="179" t="s">
        <v>342</v>
      </c>
      <c r="N3" s="173" t="s">
        <v>340</v>
      </c>
      <c r="O3" s="173" t="s">
        <v>75</v>
      </c>
      <c r="P3" s="177" t="s">
        <v>91</v>
      </c>
      <c r="Q3" s="177" t="s">
        <v>65</v>
      </c>
      <c r="R3" s="177" t="s">
        <v>68</v>
      </c>
      <c r="S3" s="177" t="s">
        <v>72</v>
      </c>
      <c r="T3" s="177" t="s">
        <v>67</v>
      </c>
      <c r="U3" s="177" t="s">
        <v>68</v>
      </c>
      <c r="V3" s="177" t="s">
        <v>69</v>
      </c>
      <c r="W3" s="177" t="s">
        <v>70</v>
      </c>
      <c r="X3" s="177" t="s">
        <v>48</v>
      </c>
      <c r="Y3" s="177" t="s">
        <v>343</v>
      </c>
      <c r="Z3" s="177" t="s">
        <v>340</v>
      </c>
      <c r="AA3" s="177" t="s">
        <v>75</v>
      </c>
    </row>
    <row r="4" spans="1:27" x14ac:dyDescent="0.25">
      <c r="A4" s="122" t="s">
        <v>309</v>
      </c>
      <c r="B4" s="20" t="s">
        <v>142</v>
      </c>
      <c r="C4" s="147">
        <v>47351</v>
      </c>
      <c r="D4" s="147">
        <v>7291</v>
      </c>
      <c r="E4" s="147">
        <v>5603</v>
      </c>
      <c r="F4" s="147">
        <v>2641</v>
      </c>
      <c r="G4" s="147">
        <v>7001</v>
      </c>
      <c r="H4" s="147">
        <v>21463</v>
      </c>
      <c r="I4" s="147">
        <v>2949</v>
      </c>
      <c r="J4" s="147">
        <v>2437</v>
      </c>
      <c r="K4" s="147">
        <v>1547</v>
      </c>
      <c r="L4" s="147">
        <v>98283</v>
      </c>
      <c r="M4" s="208">
        <v>60245</v>
      </c>
      <c r="N4" s="147">
        <v>2641</v>
      </c>
      <c r="O4" s="147">
        <v>35397</v>
      </c>
      <c r="P4" s="148">
        <v>48.178220038053375</v>
      </c>
      <c r="Q4" s="148">
        <v>7.418373472523224</v>
      </c>
      <c r="R4" s="148">
        <v>5.7008841813945441</v>
      </c>
      <c r="S4" s="148">
        <v>2.6871381622457595</v>
      </c>
      <c r="T4" s="148">
        <v>7.1233071843553821</v>
      </c>
      <c r="U4" s="148">
        <v>21.837957734297895</v>
      </c>
      <c r="V4" s="148">
        <v>3.0005189096791915</v>
      </c>
      <c r="W4" s="148">
        <v>2.479574290569071</v>
      </c>
      <c r="X4" s="148">
        <v>1.5740260268815562</v>
      </c>
      <c r="Y4" s="148">
        <v>61.297477691971146</v>
      </c>
      <c r="Z4" s="148">
        <v>2.6871381622457595</v>
      </c>
      <c r="AA4" s="148">
        <v>36.015384145783095</v>
      </c>
    </row>
    <row r="5" spans="1:27" x14ac:dyDescent="0.25">
      <c r="A5" s="122" t="s">
        <v>84</v>
      </c>
      <c r="B5" s="20" t="s">
        <v>143</v>
      </c>
      <c r="C5" s="147">
        <v>35537</v>
      </c>
      <c r="D5" s="147">
        <v>7227</v>
      </c>
      <c r="E5" s="147">
        <v>1409</v>
      </c>
      <c r="F5" s="147">
        <v>1747</v>
      </c>
      <c r="G5" s="147">
        <v>8224</v>
      </c>
      <c r="H5" s="147">
        <v>1784</v>
      </c>
      <c r="I5" s="147">
        <v>2531</v>
      </c>
      <c r="J5" s="147">
        <v>1438</v>
      </c>
      <c r="K5" s="147">
        <v>817</v>
      </c>
      <c r="L5" s="147">
        <v>60714</v>
      </c>
      <c r="M5" s="208">
        <v>44173</v>
      </c>
      <c r="N5" s="147">
        <v>1747</v>
      </c>
      <c r="O5" s="147">
        <v>14794</v>
      </c>
      <c r="P5" s="148">
        <v>58.531804855552259</v>
      </c>
      <c r="Q5" s="148">
        <v>11.903350133412392</v>
      </c>
      <c r="R5" s="148">
        <v>2.3207168033731924</v>
      </c>
      <c r="S5" s="148">
        <v>2.8774253055308496</v>
      </c>
      <c r="T5" s="148">
        <v>13.545475508120038</v>
      </c>
      <c r="U5" s="148">
        <v>2.9383667687847943</v>
      </c>
      <c r="V5" s="148">
        <v>4.1687254998847054</v>
      </c>
      <c r="W5" s="148">
        <v>2.3684817340316897</v>
      </c>
      <c r="X5" s="148">
        <v>1.3456533913100768</v>
      </c>
      <c r="Y5" s="148">
        <v>72.755871792337842</v>
      </c>
      <c r="Z5" s="148">
        <v>2.8774253055308496</v>
      </c>
      <c r="AA5" s="148">
        <v>24.366702902131305</v>
      </c>
    </row>
    <row r="6" spans="1:27" x14ac:dyDescent="0.25">
      <c r="A6" s="122" t="s">
        <v>85</v>
      </c>
      <c r="B6" s="20" t="s">
        <v>144</v>
      </c>
      <c r="C6" s="147">
        <v>37005</v>
      </c>
      <c r="D6" s="147">
        <v>6408</v>
      </c>
      <c r="E6" s="147">
        <v>1485</v>
      </c>
      <c r="F6" s="147">
        <v>2931</v>
      </c>
      <c r="G6" s="147">
        <v>11869</v>
      </c>
      <c r="H6" s="147">
        <v>2146</v>
      </c>
      <c r="I6" s="147">
        <v>2954</v>
      </c>
      <c r="J6" s="147">
        <v>3100</v>
      </c>
      <c r="K6" s="147">
        <v>1360</v>
      </c>
      <c r="L6" s="147">
        <v>69258</v>
      </c>
      <c r="M6" s="208">
        <v>44898</v>
      </c>
      <c r="N6" s="147">
        <v>2931</v>
      </c>
      <c r="O6" s="147">
        <v>21429</v>
      </c>
      <c r="P6" s="148">
        <v>53.43065061075977</v>
      </c>
      <c r="Q6" s="148">
        <v>9.2523607381096777</v>
      </c>
      <c r="R6" s="148">
        <v>2.1441566317248548</v>
      </c>
      <c r="S6" s="148">
        <v>4.2320020791821884</v>
      </c>
      <c r="T6" s="148">
        <v>17.137370412082358</v>
      </c>
      <c r="U6" s="148">
        <v>3.0985590112333594</v>
      </c>
      <c r="V6" s="148">
        <v>4.2652112391348291</v>
      </c>
      <c r="W6" s="148">
        <v>4.4760172110081147</v>
      </c>
      <c r="X6" s="148">
        <v>1.9636720667648502</v>
      </c>
      <c r="Y6" s="148">
        <v>64.827167980594297</v>
      </c>
      <c r="Z6" s="148">
        <v>4.2320020791821884</v>
      </c>
      <c r="AA6" s="148">
        <v>30.940829940223512</v>
      </c>
    </row>
    <row r="7" spans="1:27" x14ac:dyDescent="0.25">
      <c r="A7" s="124" t="s">
        <v>86</v>
      </c>
      <c r="B7" s="21" t="s">
        <v>145</v>
      </c>
      <c r="C7" s="147">
        <v>74295</v>
      </c>
      <c r="D7" s="147">
        <v>11912</v>
      </c>
      <c r="E7" s="147">
        <v>3317</v>
      </c>
      <c r="F7" s="147">
        <v>3957</v>
      </c>
      <c r="G7" s="147">
        <v>17677</v>
      </c>
      <c r="H7" s="147">
        <v>4002</v>
      </c>
      <c r="I7" s="147">
        <v>4746</v>
      </c>
      <c r="J7" s="147">
        <v>3112</v>
      </c>
      <c r="K7" s="147">
        <v>2328</v>
      </c>
      <c r="L7" s="147">
        <v>125346</v>
      </c>
      <c r="M7" s="208">
        <v>89524</v>
      </c>
      <c r="N7" s="147">
        <v>3957</v>
      </c>
      <c r="O7" s="147">
        <v>31865</v>
      </c>
      <c r="P7" s="148">
        <v>59.27193528313628</v>
      </c>
      <c r="Q7" s="148">
        <v>9.5032948797727883</v>
      </c>
      <c r="R7" s="148">
        <v>2.6462751104941522</v>
      </c>
      <c r="S7" s="148">
        <v>3.1568618065195535</v>
      </c>
      <c r="T7" s="148">
        <v>14.102564102564102</v>
      </c>
      <c r="U7" s="148">
        <v>3.19276243358384</v>
      </c>
      <c r="V7" s="148">
        <v>3.7863194677133691</v>
      </c>
      <c r="W7" s="148">
        <v>2.4827278094235155</v>
      </c>
      <c r="X7" s="148">
        <v>1.8572591067923985</v>
      </c>
      <c r="Y7" s="148">
        <v>71.421505273403213</v>
      </c>
      <c r="Z7" s="148">
        <v>3.1568618065195535</v>
      </c>
      <c r="AA7" s="148">
        <v>25.421632920077226</v>
      </c>
    </row>
    <row r="8" spans="1:27" x14ac:dyDescent="0.25">
      <c r="A8" s="119" t="s">
        <v>87</v>
      </c>
      <c r="B8" s="126" t="s">
        <v>146</v>
      </c>
      <c r="C8" s="147">
        <v>64096</v>
      </c>
      <c r="D8" s="147">
        <v>12512</v>
      </c>
      <c r="E8" s="147">
        <v>2972</v>
      </c>
      <c r="F8" s="147">
        <v>2499</v>
      </c>
      <c r="G8" s="147">
        <v>14045</v>
      </c>
      <c r="H8" s="147">
        <v>4295</v>
      </c>
      <c r="I8" s="147">
        <v>3875</v>
      </c>
      <c r="J8" s="147">
        <v>2133</v>
      </c>
      <c r="K8" s="147">
        <v>1352</v>
      </c>
      <c r="L8" s="147">
        <v>107779</v>
      </c>
      <c r="M8" s="208">
        <v>79580</v>
      </c>
      <c r="N8" s="147">
        <v>2499</v>
      </c>
      <c r="O8" s="147">
        <v>25700</v>
      </c>
      <c r="P8" s="148">
        <v>59.469841063658038</v>
      </c>
      <c r="Q8" s="148">
        <v>11.608940517169392</v>
      </c>
      <c r="R8" s="148">
        <v>2.7574945026396609</v>
      </c>
      <c r="S8" s="148">
        <v>2.3186335000324738</v>
      </c>
      <c r="T8" s="148">
        <v>13.031295521390994</v>
      </c>
      <c r="U8" s="148">
        <v>3.9850063555980295</v>
      </c>
      <c r="V8" s="148">
        <v>3.5953200530715628</v>
      </c>
      <c r="W8" s="148">
        <v>1.9790497221165535</v>
      </c>
      <c r="X8" s="148">
        <v>1.2544187643232911</v>
      </c>
      <c r="Y8" s="148">
        <v>73.836276083467084</v>
      </c>
      <c r="Z8" s="148">
        <v>2.3186335000324738</v>
      </c>
      <c r="AA8" s="148">
        <v>23.84509041650043</v>
      </c>
    </row>
    <row r="9" spans="1:27" x14ac:dyDescent="0.25">
      <c r="A9" s="121" t="s">
        <v>295</v>
      </c>
      <c r="B9" s="6" t="s">
        <v>294</v>
      </c>
      <c r="C9" s="147">
        <v>258284</v>
      </c>
      <c r="D9" s="147">
        <v>45350</v>
      </c>
      <c r="E9" s="147">
        <v>14786</v>
      </c>
      <c r="F9" s="147">
        <v>13775</v>
      </c>
      <c r="G9" s="147">
        <v>58816</v>
      </c>
      <c r="H9" s="147">
        <v>33690</v>
      </c>
      <c r="I9" s="147">
        <v>17055</v>
      </c>
      <c r="J9" s="147">
        <v>12220</v>
      </c>
      <c r="K9" s="147">
        <v>7404</v>
      </c>
      <c r="L9" s="147">
        <v>461380</v>
      </c>
      <c r="M9" s="208">
        <v>318420</v>
      </c>
      <c r="N9" s="147">
        <v>13775</v>
      </c>
      <c r="O9" s="147">
        <v>129185</v>
      </c>
      <c r="P9" s="148">
        <v>55.980753391997915</v>
      </c>
      <c r="Q9" s="148">
        <v>9.8292080280896439</v>
      </c>
      <c r="R9" s="148">
        <v>3.2047336252113228</v>
      </c>
      <c r="S9" s="148">
        <v>2.9856083922146603</v>
      </c>
      <c r="T9" s="148">
        <v>12.74784342624301</v>
      </c>
      <c r="U9" s="148">
        <v>7.3020070224110274</v>
      </c>
      <c r="V9" s="148">
        <v>3.6965191382374614</v>
      </c>
      <c r="W9" s="148">
        <v>2.6485760110971435</v>
      </c>
      <c r="X9" s="148">
        <v>1.6047509644978111</v>
      </c>
      <c r="Y9" s="148">
        <v>69.014695045298893</v>
      </c>
      <c r="Z9" s="148">
        <v>2.9856083922146603</v>
      </c>
      <c r="AA9" s="148">
        <v>27.999696562486452</v>
      </c>
    </row>
    <row r="10" spans="1:27" x14ac:dyDescent="0.25">
      <c r="A10" s="5" t="s">
        <v>297</v>
      </c>
      <c r="B10" s="5" t="s">
        <v>296</v>
      </c>
      <c r="C10" s="147">
        <v>2303318</v>
      </c>
      <c r="D10" s="147">
        <v>446248</v>
      </c>
      <c r="E10" s="147">
        <v>126893</v>
      </c>
      <c r="F10" s="147">
        <v>161631</v>
      </c>
      <c r="G10" s="147">
        <v>609778</v>
      </c>
      <c r="H10" s="147">
        <v>196147</v>
      </c>
      <c r="I10" s="147">
        <v>190552</v>
      </c>
      <c r="J10" s="147">
        <v>133500</v>
      </c>
      <c r="K10" s="147">
        <v>77477</v>
      </c>
      <c r="L10" s="147">
        <v>4245544</v>
      </c>
      <c r="M10" s="208">
        <v>2876459</v>
      </c>
      <c r="N10" s="147">
        <v>161631</v>
      </c>
      <c r="O10" s="147">
        <v>1207454</v>
      </c>
      <c r="P10" s="148">
        <v>54.252599902391772</v>
      </c>
      <c r="Q10" s="148">
        <v>10.510973387627121</v>
      </c>
      <c r="R10" s="148">
        <v>2.9888513698126786</v>
      </c>
      <c r="S10" s="148">
        <v>3.8070739580133899</v>
      </c>
      <c r="T10" s="148">
        <v>14.362776595885004</v>
      </c>
      <c r="U10" s="148">
        <v>4.6200675343371778</v>
      </c>
      <c r="V10" s="148">
        <v>4.4882823025741816</v>
      </c>
      <c r="W10" s="148">
        <v>3.144473358420028</v>
      </c>
      <c r="X10" s="148">
        <v>1.8249015909386408</v>
      </c>
      <c r="Y10" s="148">
        <v>67.752424659831576</v>
      </c>
      <c r="Z10" s="148">
        <v>3.8070739580133899</v>
      </c>
      <c r="AA10" s="148">
        <v>28.440501382155031</v>
      </c>
    </row>
    <row r="11" spans="1:27" x14ac:dyDescent="0.25">
      <c r="A11" s="5" t="s">
        <v>299</v>
      </c>
      <c r="B11" s="5" t="s">
        <v>298</v>
      </c>
      <c r="C11" s="153">
        <v>21462202</v>
      </c>
      <c r="D11" s="147">
        <v>3987661</v>
      </c>
      <c r="E11" s="147">
        <v>1410470</v>
      </c>
      <c r="F11" s="147">
        <v>1799536</v>
      </c>
      <c r="G11" s="147">
        <v>5682192</v>
      </c>
      <c r="H11" s="147">
        <v>2389711</v>
      </c>
      <c r="I11" s="147">
        <v>1781530</v>
      </c>
      <c r="J11" s="147">
        <v>1714894</v>
      </c>
      <c r="K11" s="147">
        <v>898344</v>
      </c>
      <c r="L11" s="147">
        <v>41126540</v>
      </c>
      <c r="M11" s="208">
        <v>26860333</v>
      </c>
      <c r="N11" s="147">
        <v>1799536</v>
      </c>
      <c r="O11" s="147">
        <v>12466671</v>
      </c>
      <c r="P11" s="148">
        <v>52.185771037388506</v>
      </c>
      <c r="Q11" s="148">
        <v>9.6960770344405347</v>
      </c>
      <c r="R11" s="148">
        <v>3.4295858586693653</v>
      </c>
      <c r="S11" s="148">
        <v>4.3756075760324116</v>
      </c>
      <c r="T11" s="148">
        <v>13.816362864466594</v>
      </c>
      <c r="U11" s="148">
        <v>5.8106298268709207</v>
      </c>
      <c r="V11" s="148">
        <v>4.3318256289004617</v>
      </c>
      <c r="W11" s="148">
        <v>4.1697988695377726</v>
      </c>
      <c r="X11" s="148">
        <v>2.1843413036934303</v>
      </c>
      <c r="Y11" s="148">
        <v>65.31143393049841</v>
      </c>
      <c r="Z11" s="148">
        <v>4.3756075760324116</v>
      </c>
      <c r="AA11" s="148">
        <v>30.312958493469182</v>
      </c>
    </row>
    <row r="12" spans="1:27" x14ac:dyDescent="0.25">
      <c r="M12" s="7"/>
    </row>
    <row r="15" spans="1:27" x14ac:dyDescent="0.25">
      <c r="E15" s="7"/>
      <c r="F15" s="7"/>
      <c r="G15" s="7"/>
      <c r="H15" s="7"/>
      <c r="I15" s="7"/>
    </row>
  </sheetData>
  <mergeCells count="9">
    <mergeCell ref="A1:B2"/>
    <mergeCell ref="C1:O1"/>
    <mergeCell ref="P1:AA1"/>
    <mergeCell ref="C2:F2"/>
    <mergeCell ref="G2:K2"/>
    <mergeCell ref="L2:O2"/>
    <mergeCell ref="P2:S2"/>
    <mergeCell ref="T2:X2"/>
    <mergeCell ref="Y2:AA2"/>
  </mergeCells>
  <phoneticPr fontId="4" type="noConversion"/>
  <hyperlinks>
    <hyperlink ref="A1:B2" location="'Data by topic'!A1" display="Click here to return to topic homepage"/>
  </hyperlinks>
  <pageMargins left="0.75" right="0.75" top="1" bottom="1" header="0.5" footer="0.5"/>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A1:U21"/>
  <sheetViews>
    <sheetView workbookViewId="0">
      <pane xSplit="2" ySplit="2" topLeftCell="C3" activePane="bottomRight" state="frozen"/>
      <selection pane="topRight" activeCell="C1" sqref="C1"/>
      <selection pane="bottomLeft" activeCell="A3" sqref="A3"/>
      <selection pane="bottomRight" sqref="A1:B1"/>
    </sheetView>
  </sheetViews>
  <sheetFormatPr defaultColWidth="9.109375" defaultRowHeight="13.2" x14ac:dyDescent="0.25"/>
  <cols>
    <col min="1" max="1" width="16.33203125" style="15" customWidth="1"/>
    <col min="2" max="2" width="29.5546875" style="15" customWidth="1"/>
    <col min="3" max="21" width="16.109375" style="15" customWidth="1"/>
    <col min="22" max="16384" width="9.109375" style="15"/>
  </cols>
  <sheetData>
    <row r="1" spans="1:21" ht="45.75" customHeight="1" x14ac:dyDescent="0.25">
      <c r="A1" s="388" t="s">
        <v>323</v>
      </c>
      <c r="B1" s="389"/>
      <c r="C1" s="350" t="s">
        <v>205</v>
      </c>
      <c r="D1" s="351"/>
      <c r="E1" s="351"/>
      <c r="F1" s="351"/>
      <c r="G1" s="351"/>
      <c r="H1" s="351"/>
      <c r="I1" s="351"/>
      <c r="J1" s="351"/>
      <c r="K1" s="351"/>
      <c r="L1" s="351"/>
      <c r="M1" s="351"/>
      <c r="N1" s="351"/>
      <c r="O1" s="351"/>
      <c r="P1" s="351"/>
      <c r="Q1" s="351"/>
      <c r="R1" s="351"/>
      <c r="S1" s="351"/>
      <c r="T1" s="351"/>
      <c r="U1" s="352"/>
    </row>
    <row r="2" spans="1:21" s="59" customFormat="1" ht="66" customHeight="1" x14ac:dyDescent="0.25">
      <c r="A2" s="173" t="s">
        <v>364</v>
      </c>
      <c r="B2" s="173" t="s">
        <v>346</v>
      </c>
      <c r="C2" s="173" t="s">
        <v>210</v>
      </c>
      <c r="D2" s="182" t="s">
        <v>211</v>
      </c>
      <c r="E2" s="173" t="s">
        <v>212</v>
      </c>
      <c r="F2" s="173" t="s">
        <v>207</v>
      </c>
      <c r="G2" s="173" t="s">
        <v>352</v>
      </c>
      <c r="H2" s="173" t="s">
        <v>213</v>
      </c>
      <c r="I2" s="173" t="s">
        <v>351</v>
      </c>
      <c r="J2" s="173" t="s">
        <v>214</v>
      </c>
      <c r="K2" s="173" t="s">
        <v>215</v>
      </c>
      <c r="L2" s="173" t="s">
        <v>216</v>
      </c>
      <c r="M2" s="173" t="s">
        <v>217</v>
      </c>
      <c r="N2" s="173" t="s">
        <v>224</v>
      </c>
      <c r="O2" s="173" t="s">
        <v>348</v>
      </c>
      <c r="P2" s="173" t="s">
        <v>218</v>
      </c>
      <c r="Q2" s="173" t="s">
        <v>349</v>
      </c>
      <c r="R2" s="181" t="s">
        <v>219</v>
      </c>
      <c r="S2" s="173" t="s">
        <v>350</v>
      </c>
      <c r="T2" s="182" t="s">
        <v>220</v>
      </c>
      <c r="U2" s="173" t="s">
        <v>221</v>
      </c>
    </row>
    <row r="3" spans="1:21" x14ac:dyDescent="0.25">
      <c r="A3" s="122" t="s">
        <v>309</v>
      </c>
      <c r="B3" s="20" t="s">
        <v>142</v>
      </c>
      <c r="C3" s="14">
        <v>98283</v>
      </c>
      <c r="D3" s="14">
        <v>3856</v>
      </c>
      <c r="E3" s="14">
        <v>136</v>
      </c>
      <c r="F3" s="14">
        <v>2912</v>
      </c>
      <c r="G3" s="64">
        <v>2.9628725211888121</v>
      </c>
      <c r="H3" s="14">
        <v>3862</v>
      </c>
      <c r="I3" s="64">
        <v>3.9294689824282942</v>
      </c>
      <c r="J3" s="14">
        <v>215</v>
      </c>
      <c r="K3" s="14">
        <v>504</v>
      </c>
      <c r="L3" s="14">
        <v>18810</v>
      </c>
      <c r="M3" s="14">
        <v>1669</v>
      </c>
      <c r="N3" s="14">
        <v>20479</v>
      </c>
      <c r="O3" s="64">
        <v>20.836767294445632</v>
      </c>
      <c r="P3" s="14">
        <v>17755</v>
      </c>
      <c r="Q3" s="64">
        <v>18.065179125586319</v>
      </c>
      <c r="R3" s="14">
        <v>9389</v>
      </c>
      <c r="S3" s="61">
        <v>9.5530254469236802</v>
      </c>
      <c r="T3" s="14">
        <v>329</v>
      </c>
      <c r="U3" s="14">
        <v>38846</v>
      </c>
    </row>
    <row r="4" spans="1:21" x14ac:dyDescent="0.25">
      <c r="A4" s="122" t="s">
        <v>84</v>
      </c>
      <c r="B4" s="20" t="s">
        <v>143</v>
      </c>
      <c r="C4" s="14">
        <v>60714</v>
      </c>
      <c r="D4" s="14">
        <v>3167</v>
      </c>
      <c r="E4" s="14">
        <v>55</v>
      </c>
      <c r="F4" s="14">
        <v>2379</v>
      </c>
      <c r="G4" s="64">
        <v>3.9183713805712026</v>
      </c>
      <c r="H4" s="14">
        <v>720</v>
      </c>
      <c r="I4" s="64">
        <v>1.1858879335902759</v>
      </c>
      <c r="J4" s="14">
        <v>104</v>
      </c>
      <c r="K4" s="14">
        <v>314</v>
      </c>
      <c r="L4" s="14">
        <v>30518</v>
      </c>
      <c r="M4" s="14">
        <v>2146</v>
      </c>
      <c r="N4" s="14">
        <v>32664</v>
      </c>
      <c r="O4" s="64">
        <v>53.799782587212178</v>
      </c>
      <c r="P4" s="14">
        <v>1255</v>
      </c>
      <c r="Q4" s="64">
        <v>2.067068550910828</v>
      </c>
      <c r="R4" s="14">
        <v>3025</v>
      </c>
      <c r="S4" s="61">
        <v>4.9823763876535887</v>
      </c>
      <c r="T4" s="14">
        <v>236</v>
      </c>
      <c r="U4" s="14">
        <v>16795</v>
      </c>
    </row>
    <row r="5" spans="1:21" x14ac:dyDescent="0.25">
      <c r="A5" s="122" t="s">
        <v>85</v>
      </c>
      <c r="B5" s="20" t="s">
        <v>144</v>
      </c>
      <c r="C5" s="14">
        <v>69258</v>
      </c>
      <c r="D5" s="14">
        <v>2202</v>
      </c>
      <c r="E5" s="14">
        <v>44</v>
      </c>
      <c r="F5" s="14">
        <v>655</v>
      </c>
      <c r="G5" s="64">
        <v>0.94573912039042418</v>
      </c>
      <c r="H5" s="14">
        <v>921</v>
      </c>
      <c r="I5" s="64">
        <v>1.329810274625314</v>
      </c>
      <c r="J5" s="14">
        <v>176</v>
      </c>
      <c r="K5" s="14">
        <v>319</v>
      </c>
      <c r="L5" s="14">
        <v>30474</v>
      </c>
      <c r="M5" s="14">
        <v>3000</v>
      </c>
      <c r="N5" s="14">
        <v>33474</v>
      </c>
      <c r="O5" s="64">
        <v>48.332322619769556</v>
      </c>
      <c r="P5" s="14">
        <v>2065</v>
      </c>
      <c r="Q5" s="64">
        <v>2.9816050131392764</v>
      </c>
      <c r="R5" s="14">
        <v>4374</v>
      </c>
      <c r="S5" s="61">
        <v>6.3155158970804814</v>
      </c>
      <c r="T5" s="14">
        <v>284</v>
      </c>
      <c r="U5" s="14">
        <v>24744</v>
      </c>
    </row>
    <row r="6" spans="1:21" x14ac:dyDescent="0.25">
      <c r="A6" s="124" t="s">
        <v>86</v>
      </c>
      <c r="B6" s="21" t="s">
        <v>145</v>
      </c>
      <c r="C6" s="14">
        <v>125346</v>
      </c>
      <c r="D6" s="14">
        <v>5443</v>
      </c>
      <c r="E6" s="14">
        <v>119</v>
      </c>
      <c r="F6" s="14">
        <v>3315</v>
      </c>
      <c r="G6" s="64">
        <v>2.6446795270690728</v>
      </c>
      <c r="H6" s="14">
        <v>2224</v>
      </c>
      <c r="I6" s="64">
        <v>1.7742887686882709</v>
      </c>
      <c r="J6" s="14">
        <v>265</v>
      </c>
      <c r="K6" s="14">
        <v>579</v>
      </c>
      <c r="L6" s="14">
        <v>60618</v>
      </c>
      <c r="M6" s="14">
        <v>4498</v>
      </c>
      <c r="N6" s="14">
        <v>65116</v>
      </c>
      <c r="O6" s="64">
        <v>51.949005153734461</v>
      </c>
      <c r="P6" s="14">
        <v>3227</v>
      </c>
      <c r="Q6" s="64">
        <v>2.57447385636558</v>
      </c>
      <c r="R6" s="14">
        <v>8275</v>
      </c>
      <c r="S6" s="61">
        <v>6.6017264212659361</v>
      </c>
      <c r="T6" s="14">
        <v>428</v>
      </c>
      <c r="U6" s="14">
        <v>36355</v>
      </c>
    </row>
    <row r="7" spans="1:21" x14ac:dyDescent="0.25">
      <c r="A7" s="119" t="s">
        <v>87</v>
      </c>
      <c r="B7" s="126" t="s">
        <v>146</v>
      </c>
      <c r="C7" s="14">
        <v>107779</v>
      </c>
      <c r="D7" s="14">
        <v>6172</v>
      </c>
      <c r="E7" s="14">
        <v>129</v>
      </c>
      <c r="F7" s="14">
        <v>2894</v>
      </c>
      <c r="G7" s="64">
        <v>2.6851241893133171</v>
      </c>
      <c r="H7" s="14">
        <v>3454</v>
      </c>
      <c r="I7" s="64">
        <v>3.2047059260152722</v>
      </c>
      <c r="J7" s="14">
        <v>132</v>
      </c>
      <c r="K7" s="14">
        <v>787</v>
      </c>
      <c r="L7" s="14">
        <v>50598</v>
      </c>
      <c r="M7" s="14">
        <v>3114</v>
      </c>
      <c r="N7" s="14">
        <v>53712</v>
      </c>
      <c r="O7" s="64">
        <v>49.835311145956076</v>
      </c>
      <c r="P7" s="14">
        <v>6211</v>
      </c>
      <c r="Q7" s="64">
        <v>5.7627181547425748</v>
      </c>
      <c r="R7" s="14">
        <v>5247</v>
      </c>
      <c r="S7" s="61">
        <v>4.8682953079913522</v>
      </c>
      <c r="T7" s="14">
        <v>401</v>
      </c>
      <c r="U7" s="14">
        <v>28640</v>
      </c>
    </row>
    <row r="8" spans="1:21" x14ac:dyDescent="0.25">
      <c r="A8" s="121" t="s">
        <v>295</v>
      </c>
      <c r="B8" s="6" t="s">
        <v>294</v>
      </c>
      <c r="C8" s="121">
        <v>461380</v>
      </c>
      <c r="D8" s="121">
        <v>20840</v>
      </c>
      <c r="E8" s="121">
        <v>483</v>
      </c>
      <c r="F8" s="121">
        <v>12155</v>
      </c>
      <c r="G8" s="64">
        <v>2.6344878408253498</v>
      </c>
      <c r="H8" s="121">
        <v>11181</v>
      </c>
      <c r="I8" s="64">
        <v>2.4233820278295548</v>
      </c>
      <c r="J8" s="121">
        <v>892</v>
      </c>
      <c r="K8" s="121">
        <v>2503</v>
      </c>
      <c r="L8" s="121">
        <v>191018</v>
      </c>
      <c r="M8" s="121">
        <v>14427</v>
      </c>
      <c r="N8" s="14">
        <v>205445</v>
      </c>
      <c r="O8" s="64">
        <v>44.52837140751658</v>
      </c>
      <c r="P8" s="121">
        <v>30513</v>
      </c>
      <c r="Q8" s="64">
        <v>6.6134206077419915</v>
      </c>
      <c r="R8" s="121">
        <v>30310</v>
      </c>
      <c r="S8" s="61">
        <v>6.5694221682777751</v>
      </c>
      <c r="T8" s="121">
        <v>1678</v>
      </c>
      <c r="U8" s="121">
        <v>145380</v>
      </c>
    </row>
    <row r="9" spans="1:21" x14ac:dyDescent="0.25">
      <c r="A9" s="5" t="s">
        <v>297</v>
      </c>
      <c r="B9" s="5" t="s">
        <v>296</v>
      </c>
      <c r="C9" s="14">
        <v>4245544</v>
      </c>
      <c r="D9" s="14">
        <v>161428</v>
      </c>
      <c r="E9" s="14">
        <v>33110</v>
      </c>
      <c r="F9" s="14">
        <v>205077</v>
      </c>
      <c r="G9" s="64">
        <v>4.8304057147917909</v>
      </c>
      <c r="H9" s="14">
        <v>106303</v>
      </c>
      <c r="I9" s="64">
        <v>2.5038722952818295</v>
      </c>
      <c r="J9" s="14">
        <v>13227</v>
      </c>
      <c r="K9" s="14">
        <v>22475</v>
      </c>
      <c r="L9" s="14">
        <v>1757121</v>
      </c>
      <c r="M9" s="14">
        <v>143749</v>
      </c>
      <c r="N9" s="14">
        <v>1900870</v>
      </c>
      <c r="O9" s="64">
        <v>44.773296425617069</v>
      </c>
      <c r="P9" s="14">
        <v>100651</v>
      </c>
      <c r="Q9" s="64">
        <v>2.3707444793882715</v>
      </c>
      <c r="R9" s="14">
        <v>288663</v>
      </c>
      <c r="S9" s="61">
        <v>6.7991993487760345</v>
      </c>
      <c r="T9" s="14">
        <v>17708</v>
      </c>
      <c r="U9" s="14">
        <v>1396032</v>
      </c>
    </row>
    <row r="10" spans="1:21" x14ac:dyDescent="0.25">
      <c r="A10" s="5" t="s">
        <v>299</v>
      </c>
      <c r="B10" s="5" t="s">
        <v>298</v>
      </c>
      <c r="C10" s="14">
        <v>41126540</v>
      </c>
      <c r="D10" s="14">
        <v>1422708</v>
      </c>
      <c r="E10" s="14">
        <v>1028800</v>
      </c>
      <c r="F10" s="14">
        <v>1371025</v>
      </c>
      <c r="G10" s="64">
        <v>3.3336745566245058</v>
      </c>
      <c r="H10" s="14">
        <v>1949442</v>
      </c>
      <c r="I10" s="64">
        <v>4.740106996601221</v>
      </c>
      <c r="J10" s="14">
        <v>137988</v>
      </c>
      <c r="K10" s="14">
        <v>214244</v>
      </c>
      <c r="L10" s="14">
        <v>15264527</v>
      </c>
      <c r="M10" s="14">
        <v>1357280</v>
      </c>
      <c r="N10" s="14">
        <v>16621807</v>
      </c>
      <c r="O10" s="64">
        <v>40.416254321418727</v>
      </c>
      <c r="P10" s="14">
        <v>762334</v>
      </c>
      <c r="Q10" s="64">
        <v>1.853630283510356</v>
      </c>
      <c r="R10" s="14">
        <v>2846588</v>
      </c>
      <c r="S10" s="61">
        <v>6.9215353394669235</v>
      </c>
      <c r="T10" s="14">
        <v>171400</v>
      </c>
      <c r="U10" s="14">
        <v>14600204</v>
      </c>
    </row>
    <row r="11" spans="1:21" x14ac:dyDescent="0.25">
      <c r="L11"/>
    </row>
    <row r="13" spans="1:21" x14ac:dyDescent="0.25">
      <c r="C13"/>
    </row>
    <row r="14" spans="1:21" x14ac:dyDescent="0.25">
      <c r="C14"/>
    </row>
    <row r="15" spans="1:21" x14ac:dyDescent="0.25">
      <c r="C15"/>
    </row>
    <row r="16" spans="1:21" x14ac:dyDescent="0.25">
      <c r="C16"/>
    </row>
    <row r="17" spans="3:3" x14ac:dyDescent="0.25">
      <c r="C17"/>
    </row>
    <row r="18" spans="3:3" x14ac:dyDescent="0.25">
      <c r="C18"/>
    </row>
    <row r="19" spans="3:3" x14ac:dyDescent="0.25">
      <c r="C19"/>
    </row>
    <row r="20" spans="3:3" x14ac:dyDescent="0.25">
      <c r="C20"/>
    </row>
    <row r="21" spans="3:3" x14ac:dyDescent="0.25">
      <c r="C21"/>
    </row>
  </sheetData>
  <mergeCells count="2">
    <mergeCell ref="C1:U1"/>
    <mergeCell ref="A1:B1"/>
  </mergeCells>
  <phoneticPr fontId="13" type="noConversion"/>
  <hyperlinks>
    <hyperlink ref="A1" location="Front!A1" display="Click here to return to homepage"/>
    <hyperlink ref="A1:B1" location="'Data by topic'!A1" display="Click here to return to homepage"/>
  </hyperlink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AA14"/>
  <sheetViews>
    <sheetView workbookViewId="0">
      <pane xSplit="2" ySplit="3" topLeftCell="C4" activePane="bottomRight" state="frozen"/>
      <selection pane="topRight" activeCell="C1" sqref="C1"/>
      <selection pane="bottomLeft" activeCell="A4" sqref="A4"/>
      <selection pane="bottomRight" sqref="A1:B2"/>
    </sheetView>
  </sheetViews>
  <sheetFormatPr defaultColWidth="14.6640625" defaultRowHeight="13.2" x14ac:dyDescent="0.25"/>
  <cols>
    <col min="1" max="1" width="14.6640625" customWidth="1"/>
    <col min="2" max="2" width="31.33203125" bestFit="1" customWidth="1"/>
  </cols>
  <sheetData>
    <row r="1" spans="1:27" s="7" customFormat="1" ht="12.75" customHeight="1" x14ac:dyDescent="0.25">
      <c r="A1" s="344" t="s">
        <v>323</v>
      </c>
      <c r="B1" s="345"/>
      <c r="C1" s="342" t="s">
        <v>113</v>
      </c>
      <c r="D1" s="343"/>
      <c r="E1" s="343"/>
      <c r="F1" s="343"/>
      <c r="G1" s="343"/>
      <c r="H1" s="343"/>
      <c r="I1" s="343"/>
      <c r="J1" s="343"/>
      <c r="K1" s="343"/>
      <c r="L1" s="343"/>
      <c r="M1" s="343"/>
      <c r="N1" s="343"/>
      <c r="O1" s="343"/>
      <c r="P1" s="343"/>
      <c r="Q1" s="343"/>
      <c r="R1" s="343"/>
      <c r="S1" s="343"/>
      <c r="T1" s="343"/>
      <c r="U1" s="343"/>
      <c r="V1" s="343"/>
      <c r="W1" s="343"/>
      <c r="X1" s="343"/>
      <c r="Y1" s="348"/>
      <c r="Z1" s="173"/>
      <c r="AA1" s="173"/>
    </row>
    <row r="2" spans="1:27" s="8" customFormat="1" ht="38.25" customHeight="1" x14ac:dyDescent="0.25">
      <c r="A2" s="346"/>
      <c r="B2" s="347"/>
      <c r="C2" s="181" t="s">
        <v>114</v>
      </c>
      <c r="D2" s="340" t="s">
        <v>115</v>
      </c>
      <c r="E2" s="341"/>
      <c r="F2" s="340" t="s">
        <v>116</v>
      </c>
      <c r="G2" s="341"/>
      <c r="H2" s="340" t="s">
        <v>117</v>
      </c>
      <c r="I2" s="341"/>
      <c r="J2" s="340" t="s">
        <v>118</v>
      </c>
      <c r="K2" s="341"/>
      <c r="L2" s="392" t="s">
        <v>119</v>
      </c>
      <c r="M2" s="393"/>
      <c r="N2" s="390" t="s">
        <v>120</v>
      </c>
      <c r="O2" s="391"/>
      <c r="P2" s="390" t="s">
        <v>121</v>
      </c>
      <c r="Q2" s="391"/>
      <c r="R2" s="392" t="s">
        <v>122</v>
      </c>
      <c r="S2" s="393"/>
      <c r="T2" s="390" t="s">
        <v>123</v>
      </c>
      <c r="U2" s="391"/>
      <c r="V2" s="390" t="s">
        <v>124</v>
      </c>
      <c r="W2" s="391"/>
      <c r="X2" s="390" t="s">
        <v>337</v>
      </c>
      <c r="Y2" s="391"/>
      <c r="Z2" s="340" t="s">
        <v>345</v>
      </c>
      <c r="AA2" s="341"/>
    </row>
    <row r="3" spans="1:27" s="9" customFormat="1" ht="51" customHeight="1" x14ac:dyDescent="0.25">
      <c r="A3" s="173" t="s">
        <v>364</v>
      </c>
      <c r="B3" s="173" t="s">
        <v>346</v>
      </c>
      <c r="C3" s="173" t="s">
        <v>5</v>
      </c>
      <c r="D3" s="173" t="s">
        <v>5</v>
      </c>
      <c r="E3" s="177" t="s">
        <v>3</v>
      </c>
      <c r="F3" s="173" t="s">
        <v>5</v>
      </c>
      <c r="G3" s="177" t="s">
        <v>3</v>
      </c>
      <c r="H3" s="173" t="s">
        <v>5</v>
      </c>
      <c r="I3" s="177" t="s">
        <v>3</v>
      </c>
      <c r="J3" s="173" t="s">
        <v>5</v>
      </c>
      <c r="K3" s="177" t="s">
        <v>3</v>
      </c>
      <c r="L3" s="173" t="s">
        <v>5</v>
      </c>
      <c r="M3" s="177" t="s">
        <v>3</v>
      </c>
      <c r="N3" s="173" t="s">
        <v>5</v>
      </c>
      <c r="O3" s="177" t="s">
        <v>3</v>
      </c>
      <c r="P3" s="173" t="s">
        <v>5</v>
      </c>
      <c r="Q3" s="177" t="s">
        <v>3</v>
      </c>
      <c r="R3" s="173" t="s">
        <v>5</v>
      </c>
      <c r="S3" s="177" t="s">
        <v>3</v>
      </c>
      <c r="T3" s="173" t="s">
        <v>5</v>
      </c>
      <c r="U3" s="177" t="s">
        <v>3</v>
      </c>
      <c r="V3" s="173" t="s">
        <v>5</v>
      </c>
      <c r="W3" s="177" t="s">
        <v>3</v>
      </c>
      <c r="X3" s="173" t="s">
        <v>5</v>
      </c>
      <c r="Y3" s="177" t="s">
        <v>3</v>
      </c>
      <c r="Z3" s="173" t="s">
        <v>5</v>
      </c>
      <c r="AA3" s="177" t="s">
        <v>3</v>
      </c>
    </row>
    <row r="4" spans="1:27" x14ac:dyDescent="0.25">
      <c r="A4" s="122" t="s">
        <v>309</v>
      </c>
      <c r="B4" s="20" t="s">
        <v>142</v>
      </c>
      <c r="C4" s="125">
        <v>123867</v>
      </c>
      <c r="D4" s="125">
        <v>13606</v>
      </c>
      <c r="E4" s="197">
        <v>11</v>
      </c>
      <c r="F4" s="125">
        <v>83069</v>
      </c>
      <c r="G4" s="130">
        <v>67.063059571960252</v>
      </c>
      <c r="H4" s="125">
        <v>1558</v>
      </c>
      <c r="I4" s="130">
        <v>1.3</v>
      </c>
      <c r="J4" s="129">
        <v>13464</v>
      </c>
      <c r="K4" s="155">
        <v>10.869723170820315</v>
      </c>
      <c r="L4" s="125">
        <v>1377</v>
      </c>
      <c r="M4" s="130">
        <v>1.1116762333793504</v>
      </c>
      <c r="N4" s="125">
        <v>1480</v>
      </c>
      <c r="O4" s="130">
        <v>1.1948299385631362</v>
      </c>
      <c r="P4" s="125">
        <v>7573</v>
      </c>
      <c r="Q4" s="130">
        <v>6.1138156248233999</v>
      </c>
      <c r="R4" s="125">
        <v>3597</v>
      </c>
      <c r="S4" s="130">
        <v>2.9039211412240551</v>
      </c>
      <c r="T4" s="125">
        <v>152</v>
      </c>
      <c r="U4" s="130">
        <v>0.12271226396053832</v>
      </c>
      <c r="V4" s="125">
        <v>490</v>
      </c>
      <c r="W4" s="130">
        <v>0.39558558776752489</v>
      </c>
      <c r="X4" s="125">
        <v>1751</v>
      </c>
      <c r="Y4" s="130">
        <v>1.4136129881243593</v>
      </c>
      <c r="Z4" s="196">
        <v>10</v>
      </c>
      <c r="AA4" s="219">
        <v>0</v>
      </c>
    </row>
    <row r="5" spans="1:27" x14ac:dyDescent="0.25">
      <c r="A5" s="122" t="s">
        <v>84</v>
      </c>
      <c r="B5" s="20" t="s">
        <v>143</v>
      </c>
      <c r="C5" s="125">
        <v>83818</v>
      </c>
      <c r="D5" s="125">
        <v>15074</v>
      </c>
      <c r="E5" s="197">
        <v>18</v>
      </c>
      <c r="F5" s="125">
        <v>62959</v>
      </c>
      <c r="G5" s="130">
        <v>75.113937340428066</v>
      </c>
      <c r="H5" s="125">
        <v>443</v>
      </c>
      <c r="I5" s="130">
        <v>0.5</v>
      </c>
      <c r="J5" s="129">
        <v>2703</v>
      </c>
      <c r="K5" s="155">
        <v>3.2248443055191007</v>
      </c>
      <c r="L5" s="125">
        <v>196</v>
      </c>
      <c r="M5" s="130">
        <v>0.23383998663771507</v>
      </c>
      <c r="N5" s="125">
        <v>394</v>
      </c>
      <c r="O5" s="130">
        <v>0.47006609558805984</v>
      </c>
      <c r="P5" s="125">
        <v>563</v>
      </c>
      <c r="Q5" s="130">
        <v>0.67169343100527334</v>
      </c>
      <c r="R5" s="125">
        <v>1997</v>
      </c>
      <c r="S5" s="130">
        <v>2.3825431291608008</v>
      </c>
      <c r="T5" s="125">
        <v>20</v>
      </c>
      <c r="U5" s="130">
        <v>2.3861223126297453E-2</v>
      </c>
      <c r="V5" s="125">
        <v>62</v>
      </c>
      <c r="W5" s="130">
        <v>7.396979169152211E-2</v>
      </c>
      <c r="X5" s="125">
        <v>325</v>
      </c>
      <c r="Y5" s="130">
        <v>0.38774487580233363</v>
      </c>
      <c r="Z5" s="196">
        <v>1</v>
      </c>
      <c r="AA5" s="219">
        <v>0</v>
      </c>
    </row>
    <row r="6" spans="1:27" x14ac:dyDescent="0.25">
      <c r="A6" s="122" t="s">
        <v>85</v>
      </c>
      <c r="B6" s="20" t="s">
        <v>144</v>
      </c>
      <c r="C6" s="125">
        <v>95262</v>
      </c>
      <c r="D6" s="125">
        <v>25199</v>
      </c>
      <c r="E6" s="197">
        <v>26.5</v>
      </c>
      <c r="F6" s="125">
        <v>63917</v>
      </c>
      <c r="G6" s="130">
        <v>67.096008901765657</v>
      </c>
      <c r="H6" s="125">
        <v>256</v>
      </c>
      <c r="I6" s="130">
        <v>0.3</v>
      </c>
      <c r="J6" s="129">
        <v>5097</v>
      </c>
      <c r="K6" s="155">
        <v>5.3505070227372924</v>
      </c>
      <c r="L6" s="125">
        <v>115</v>
      </c>
      <c r="M6" s="130">
        <v>0.12071969935546177</v>
      </c>
      <c r="N6" s="125">
        <v>208</v>
      </c>
      <c r="O6" s="130">
        <v>0.21834519535596564</v>
      </c>
      <c r="P6" s="125">
        <v>371</v>
      </c>
      <c r="Q6" s="130">
        <v>0.38945224748588103</v>
      </c>
      <c r="R6" s="125">
        <v>292</v>
      </c>
      <c r="S6" s="130">
        <v>0.30652306271125951</v>
      </c>
      <c r="T6" s="125">
        <v>6</v>
      </c>
      <c r="U6" s="130">
        <v>6.298419096806702E-3</v>
      </c>
      <c r="V6" s="125">
        <v>29</v>
      </c>
      <c r="W6" s="130">
        <v>3.0442358967899059E-2</v>
      </c>
      <c r="X6" s="125">
        <v>119</v>
      </c>
      <c r="Y6" s="130">
        <v>0.12491864541999957</v>
      </c>
      <c r="Z6" s="196">
        <v>2</v>
      </c>
      <c r="AA6" s="219">
        <v>0</v>
      </c>
    </row>
    <row r="7" spans="1:27" x14ac:dyDescent="0.25">
      <c r="A7" s="124" t="s">
        <v>86</v>
      </c>
      <c r="B7" s="21" t="s">
        <v>145</v>
      </c>
      <c r="C7" s="125">
        <v>169508</v>
      </c>
      <c r="D7" s="125">
        <v>27168</v>
      </c>
      <c r="E7" s="197">
        <v>16</v>
      </c>
      <c r="F7" s="125">
        <v>132208</v>
      </c>
      <c r="G7" s="130">
        <v>77.995138872501585</v>
      </c>
      <c r="H7" s="125">
        <v>785</v>
      </c>
      <c r="I7" s="130">
        <v>0.5</v>
      </c>
      <c r="J7" s="129">
        <v>4921</v>
      </c>
      <c r="K7" s="155">
        <v>2.9031078179200982</v>
      </c>
      <c r="L7" s="125">
        <v>285</v>
      </c>
      <c r="M7" s="130">
        <v>0.16813365740849989</v>
      </c>
      <c r="N7" s="125">
        <v>800</v>
      </c>
      <c r="O7" s="130">
        <v>0.4719541260589471</v>
      </c>
      <c r="P7" s="125">
        <v>1250</v>
      </c>
      <c r="Q7" s="130">
        <v>0.73742832196710473</v>
      </c>
      <c r="R7" s="125">
        <v>3075</v>
      </c>
      <c r="S7" s="130">
        <v>1.814073672039078</v>
      </c>
      <c r="T7" s="125">
        <v>15</v>
      </c>
      <c r="U7" s="130">
        <v>8.8491398636052574E-3</v>
      </c>
      <c r="V7" s="125">
        <v>71</v>
      </c>
      <c r="W7" s="130">
        <v>4.1885928687731555E-2</v>
      </c>
      <c r="X7" s="125">
        <v>445</v>
      </c>
      <c r="Y7" s="130">
        <v>0.26252448262028932</v>
      </c>
      <c r="Z7" s="196">
        <v>0</v>
      </c>
      <c r="AA7" s="219">
        <v>0</v>
      </c>
    </row>
    <row r="8" spans="1:27" x14ac:dyDescent="0.25">
      <c r="A8" s="119" t="s">
        <v>87</v>
      </c>
      <c r="B8" s="126" t="s">
        <v>146</v>
      </c>
      <c r="C8" s="125">
        <v>148755</v>
      </c>
      <c r="D8" s="125">
        <v>19240</v>
      </c>
      <c r="E8" s="197">
        <v>12.9</v>
      </c>
      <c r="F8" s="125">
        <v>119463</v>
      </c>
      <c r="G8" s="130">
        <v>80.308561056771197</v>
      </c>
      <c r="H8" s="125">
        <v>963</v>
      </c>
      <c r="I8" s="130">
        <v>0.6</v>
      </c>
      <c r="J8" s="129">
        <v>5015</v>
      </c>
      <c r="K8" s="155">
        <v>3.3713152499075658</v>
      </c>
      <c r="L8" s="125">
        <v>483</v>
      </c>
      <c r="M8" s="130">
        <v>0.32469496823636179</v>
      </c>
      <c r="N8" s="125">
        <v>1101</v>
      </c>
      <c r="O8" s="130">
        <v>0.74014318846425331</v>
      </c>
      <c r="P8" s="125">
        <v>2555</v>
      </c>
      <c r="Q8" s="130">
        <v>1.7175893247285805</v>
      </c>
      <c r="R8" s="125">
        <v>1586</v>
      </c>
      <c r="S8" s="130">
        <v>1.0661826493227118</v>
      </c>
      <c r="T8" s="125">
        <v>38</v>
      </c>
      <c r="U8" s="130">
        <v>2.5545359819837989E-2</v>
      </c>
      <c r="V8" s="125">
        <v>198</v>
      </c>
      <c r="W8" s="130">
        <v>0.13310476958757689</v>
      </c>
      <c r="X8" s="125">
        <v>897</v>
      </c>
      <c r="Y8" s="130">
        <v>0.60300494101038626</v>
      </c>
      <c r="Z8" s="196">
        <v>4</v>
      </c>
      <c r="AA8" s="219">
        <v>0</v>
      </c>
    </row>
    <row r="9" spans="1:27" x14ac:dyDescent="0.25">
      <c r="A9" s="121" t="s">
        <v>295</v>
      </c>
      <c r="B9" s="6" t="s">
        <v>294</v>
      </c>
      <c r="C9" s="7">
        <v>621210</v>
      </c>
      <c r="D9" s="7">
        <v>100287</v>
      </c>
      <c r="E9" s="197">
        <v>16.100000000000001</v>
      </c>
      <c r="F9" s="125">
        <v>461616</v>
      </c>
      <c r="G9" s="130">
        <v>74.309170811802773</v>
      </c>
      <c r="H9" s="125">
        <v>4005</v>
      </c>
      <c r="I9" s="130">
        <v>0.6</v>
      </c>
      <c r="J9" s="125">
        <v>31200</v>
      </c>
      <c r="K9" s="155">
        <v>5.0224561742405953</v>
      </c>
      <c r="L9" s="125">
        <v>2456</v>
      </c>
      <c r="M9" s="130">
        <v>0.39535744756201607</v>
      </c>
      <c r="N9" s="125">
        <v>3983</v>
      </c>
      <c r="O9" s="130">
        <v>0.64116804301282981</v>
      </c>
      <c r="P9" s="125">
        <v>12312</v>
      </c>
      <c r="Q9" s="130">
        <v>1.9819384749118656</v>
      </c>
      <c r="R9" s="125">
        <v>10547</v>
      </c>
      <c r="S9" s="130">
        <v>1.6978155535165245</v>
      </c>
      <c r="T9" s="125">
        <v>231</v>
      </c>
      <c r="U9" s="130">
        <v>3.71854928285121E-2</v>
      </c>
      <c r="V9" s="125">
        <v>850</v>
      </c>
      <c r="W9" s="130">
        <v>0.13682973551617006</v>
      </c>
      <c r="X9" s="125">
        <v>3537</v>
      </c>
      <c r="Y9" s="130">
        <v>0.56937267590669827</v>
      </c>
      <c r="Z9" s="196">
        <v>17</v>
      </c>
      <c r="AA9" s="219">
        <v>0</v>
      </c>
    </row>
    <row r="10" spans="1:27" x14ac:dyDescent="0.25">
      <c r="A10" s="5" t="s">
        <v>297</v>
      </c>
      <c r="B10" s="5" t="s">
        <v>296</v>
      </c>
      <c r="C10" s="7">
        <v>5846965</v>
      </c>
      <c r="D10" s="7">
        <v>977698</v>
      </c>
      <c r="E10" s="197">
        <v>16.7</v>
      </c>
      <c r="F10" s="125">
        <v>4480603</v>
      </c>
      <c r="G10" s="130">
        <v>76.631260833611975</v>
      </c>
      <c r="H10" s="125">
        <v>43522</v>
      </c>
      <c r="I10" s="130">
        <v>0.7</v>
      </c>
      <c r="J10" s="125">
        <v>195077</v>
      </c>
      <c r="K10" s="130">
        <v>3.3363804982584981</v>
      </c>
      <c r="L10" s="125">
        <v>12389</v>
      </c>
      <c r="M10" s="130">
        <v>0.21188770584397204</v>
      </c>
      <c r="N10" s="125">
        <v>48273</v>
      </c>
      <c r="O10" s="130">
        <v>0.8256078153366746</v>
      </c>
      <c r="P10" s="125">
        <v>81891</v>
      </c>
      <c r="Q10" s="130">
        <v>1.4005727757905171</v>
      </c>
      <c r="R10" s="125">
        <v>44631</v>
      </c>
      <c r="S10" s="130">
        <v>0.7633190894763352</v>
      </c>
      <c r="T10" s="125">
        <v>770</v>
      </c>
      <c r="U10" s="130">
        <v>1.3169225401554484E-2</v>
      </c>
      <c r="V10" s="125">
        <v>4754</v>
      </c>
      <c r="W10" s="130">
        <v>8.1307139686999999E-2</v>
      </c>
      <c r="X10" s="125">
        <v>17692</v>
      </c>
      <c r="Y10" s="130">
        <v>0.3025843322133791</v>
      </c>
      <c r="Z10" s="196">
        <v>104</v>
      </c>
      <c r="AA10" s="219">
        <v>0</v>
      </c>
    </row>
    <row r="11" spans="1:27" x14ac:dyDescent="0.25">
      <c r="A11" s="5" t="s">
        <v>299</v>
      </c>
      <c r="B11" s="5" t="s">
        <v>298</v>
      </c>
      <c r="C11" s="7">
        <v>56075912</v>
      </c>
      <c r="D11" s="7">
        <v>9458051</v>
      </c>
      <c r="E11" s="197">
        <v>16.899999999999999</v>
      </c>
      <c r="F11" s="125">
        <v>42456526</v>
      </c>
      <c r="G11" s="130">
        <v>75.712591174620584</v>
      </c>
      <c r="H11" s="125">
        <v>409113</v>
      </c>
      <c r="I11" s="130">
        <v>0.7</v>
      </c>
      <c r="J11" s="125">
        <v>1940480</v>
      </c>
      <c r="K11" s="130">
        <v>3.4604519673260059</v>
      </c>
      <c r="L11" s="125">
        <v>149284</v>
      </c>
      <c r="M11" s="130">
        <v>0.26621769432835973</v>
      </c>
      <c r="N11" s="125">
        <v>520635</v>
      </c>
      <c r="O11" s="130">
        <v>0.92844678121329527</v>
      </c>
      <c r="P11" s="125">
        <v>1135432</v>
      </c>
      <c r="Q11" s="130">
        <v>2.0248123650668401</v>
      </c>
      <c r="R11" s="125">
        <v>336241</v>
      </c>
      <c r="S11" s="130">
        <v>0.59961753274739427</v>
      </c>
      <c r="T11" s="125">
        <v>9202</v>
      </c>
      <c r="U11" s="130">
        <v>1.6409898068175867E-2</v>
      </c>
      <c r="V11" s="125">
        <v>74288</v>
      </c>
      <c r="W11" s="130">
        <v>0.13247756006179623</v>
      </c>
      <c r="X11" s="125">
        <v>210725</v>
      </c>
      <c r="Y11" s="130">
        <v>0.37578523912370787</v>
      </c>
      <c r="Z11" s="196">
        <v>2121</v>
      </c>
      <c r="AA11" s="219">
        <v>0</v>
      </c>
    </row>
    <row r="13" spans="1:27" x14ac:dyDescent="0.25">
      <c r="F13" s="7"/>
      <c r="G13" s="7"/>
      <c r="H13" s="7"/>
      <c r="I13" s="7"/>
      <c r="J13" s="7"/>
      <c r="K13" s="7"/>
    </row>
    <row r="14" spans="1:27" x14ac:dyDescent="0.25">
      <c r="F14" s="7"/>
      <c r="G14" s="7"/>
    </row>
  </sheetData>
  <mergeCells count="14">
    <mergeCell ref="A1:B2"/>
    <mergeCell ref="N2:O2"/>
    <mergeCell ref="P2:Q2"/>
    <mergeCell ref="R2:S2"/>
    <mergeCell ref="Z2:AA2"/>
    <mergeCell ref="X2:Y2"/>
    <mergeCell ref="C1:Y1"/>
    <mergeCell ref="D2:E2"/>
    <mergeCell ref="F2:G2"/>
    <mergeCell ref="H2:I2"/>
    <mergeCell ref="J2:K2"/>
    <mergeCell ref="L2:M2"/>
    <mergeCell ref="T2:U2"/>
    <mergeCell ref="V2:W2"/>
  </mergeCells>
  <phoneticPr fontId="4" type="noConversion"/>
  <hyperlinks>
    <hyperlink ref="A1:A2" location="Front!A1" display="Click here to return to homepage"/>
    <hyperlink ref="A1:B2" location="'Data by topic'!A1" display="Click here to return to topic homepage"/>
  </hyperlinks>
  <pageMargins left="0.75" right="0.75" top="1" bottom="1" header="0.5" footer="0.5"/>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O30"/>
  <sheetViews>
    <sheetView workbookViewId="0">
      <pane xSplit="2" ySplit="3" topLeftCell="C4" activePane="bottomRight" state="frozen"/>
      <selection pane="topRight" activeCell="C1" sqref="C1"/>
      <selection pane="bottomLeft" activeCell="A4" sqref="A4"/>
      <selection pane="bottomRight" sqref="A1:B2"/>
    </sheetView>
  </sheetViews>
  <sheetFormatPr defaultColWidth="14.6640625" defaultRowHeight="13.2" x14ac:dyDescent="0.25"/>
  <cols>
    <col min="1" max="1" width="14.6640625" customWidth="1"/>
    <col min="2" max="2" width="28.44140625" style="15" customWidth="1"/>
    <col min="3" max="3" width="14.6640625" style="15" customWidth="1"/>
    <col min="4" max="4" width="14.6640625" customWidth="1"/>
    <col min="5" max="5" width="14.6640625" style="64" customWidth="1"/>
    <col min="6" max="6" width="14.6640625" customWidth="1"/>
    <col min="7" max="7" width="14.6640625" style="64" customWidth="1"/>
    <col min="8" max="8" width="14.6640625" customWidth="1"/>
    <col min="9" max="9" width="14.6640625" style="64" customWidth="1"/>
    <col min="10" max="10" width="14.6640625" style="2" customWidth="1"/>
    <col min="11" max="11" width="14.6640625" style="64" customWidth="1"/>
    <col min="12" max="12" width="14.6640625" customWidth="1"/>
    <col min="13" max="13" width="14.6640625" style="64" customWidth="1"/>
    <col min="14" max="14" width="14.6640625" customWidth="1"/>
    <col min="15" max="15" width="14.6640625" style="64" customWidth="1"/>
  </cols>
  <sheetData>
    <row r="1" spans="1:15" s="5" customFormat="1" ht="12.75" customHeight="1" x14ac:dyDescent="0.25">
      <c r="A1" s="344" t="s">
        <v>323</v>
      </c>
      <c r="B1" s="345"/>
      <c r="C1" s="366" t="s">
        <v>125</v>
      </c>
      <c r="D1" s="366"/>
      <c r="E1" s="366"/>
      <c r="F1" s="366"/>
      <c r="G1" s="366"/>
      <c r="H1" s="366"/>
      <c r="I1" s="366"/>
      <c r="J1" s="366"/>
      <c r="K1" s="366"/>
      <c r="L1" s="366"/>
      <c r="M1" s="366"/>
      <c r="N1" s="366"/>
      <c r="O1" s="366"/>
    </row>
    <row r="2" spans="1:15" s="10" customFormat="1" ht="38.25" customHeight="1" x14ac:dyDescent="0.25">
      <c r="A2" s="346"/>
      <c r="B2" s="347"/>
      <c r="C2" s="170" t="s">
        <v>126</v>
      </c>
      <c r="D2" s="368" t="s">
        <v>127</v>
      </c>
      <c r="E2" s="368"/>
      <c r="F2" s="368" t="s">
        <v>128</v>
      </c>
      <c r="G2" s="368"/>
      <c r="H2" s="368" t="s">
        <v>129</v>
      </c>
      <c r="I2" s="368"/>
      <c r="J2" s="368" t="s">
        <v>254</v>
      </c>
      <c r="K2" s="368"/>
      <c r="L2" s="368" t="s">
        <v>130</v>
      </c>
      <c r="M2" s="368"/>
      <c r="N2" s="368" t="s">
        <v>131</v>
      </c>
      <c r="O2" s="368"/>
    </row>
    <row r="3" spans="1:15" s="11" customFormat="1" ht="51" customHeight="1" x14ac:dyDescent="0.25">
      <c r="A3" s="173" t="s">
        <v>364</v>
      </c>
      <c r="B3" s="173" t="s">
        <v>346</v>
      </c>
      <c r="C3" s="173" t="s">
        <v>35</v>
      </c>
      <c r="D3" s="173" t="s">
        <v>5</v>
      </c>
      <c r="E3" s="177" t="s">
        <v>3</v>
      </c>
      <c r="F3" s="173" t="s">
        <v>5</v>
      </c>
      <c r="G3" s="177" t="s">
        <v>3</v>
      </c>
      <c r="H3" s="173" t="s">
        <v>5</v>
      </c>
      <c r="I3" s="177" t="s">
        <v>3</v>
      </c>
      <c r="J3" s="173" t="s">
        <v>5</v>
      </c>
      <c r="K3" s="177" t="s">
        <v>3</v>
      </c>
      <c r="L3" s="173" t="s">
        <v>5</v>
      </c>
      <c r="M3" s="177" t="s">
        <v>3</v>
      </c>
      <c r="N3" s="173" t="s">
        <v>5</v>
      </c>
      <c r="O3" s="177" t="s">
        <v>3</v>
      </c>
    </row>
    <row r="4" spans="1:15" x14ac:dyDescent="0.25">
      <c r="A4" s="122" t="s">
        <v>309</v>
      </c>
      <c r="B4" s="21" t="s">
        <v>142</v>
      </c>
      <c r="C4" s="154">
        <v>123867</v>
      </c>
      <c r="D4" s="154">
        <v>87486</v>
      </c>
      <c r="E4" s="152">
        <v>70.628981084550375</v>
      </c>
      <c r="F4" s="154">
        <v>9042</v>
      </c>
      <c r="G4" s="152">
        <v>7.2997650705999177</v>
      </c>
      <c r="H4" s="154">
        <v>8141</v>
      </c>
      <c r="I4" s="152">
        <v>6.5723719796233055</v>
      </c>
      <c r="J4" s="1">
        <v>19198</v>
      </c>
      <c r="K4" s="64">
        <v>15.498881865226414</v>
      </c>
      <c r="L4" s="154">
        <v>7362</v>
      </c>
      <c r="M4" s="152">
        <v>5.9434716268255467</v>
      </c>
      <c r="N4" s="154">
        <v>11836</v>
      </c>
      <c r="O4" s="152">
        <v>9.5554102384008655</v>
      </c>
    </row>
    <row r="5" spans="1:15" x14ac:dyDescent="0.25">
      <c r="A5" s="122" t="s">
        <v>84</v>
      </c>
      <c r="B5" s="21" t="s">
        <v>143</v>
      </c>
      <c r="C5" s="154">
        <v>83818</v>
      </c>
      <c r="D5" s="154">
        <v>75576</v>
      </c>
      <c r="E5" s="152">
        <v>90.166789949652809</v>
      </c>
      <c r="F5" s="154">
        <v>1558</v>
      </c>
      <c r="G5" s="152">
        <v>1.8587892815385716</v>
      </c>
      <c r="H5" s="154">
        <v>1776</v>
      </c>
      <c r="I5" s="152">
        <v>2.118876613615214</v>
      </c>
      <c r="J5" s="1">
        <v>4908</v>
      </c>
      <c r="K5" s="64">
        <v>5.8555441551933951</v>
      </c>
      <c r="L5" s="154">
        <v>1727</v>
      </c>
      <c r="M5" s="152">
        <v>2.0604166169557852</v>
      </c>
      <c r="N5" s="154">
        <v>3181</v>
      </c>
      <c r="O5" s="152">
        <v>3.7951275382376104</v>
      </c>
    </row>
    <row r="6" spans="1:15" x14ac:dyDescent="0.25">
      <c r="A6" s="122" t="s">
        <v>85</v>
      </c>
      <c r="B6" s="21" t="s">
        <v>144</v>
      </c>
      <c r="C6" s="154">
        <v>95262</v>
      </c>
      <c r="D6" s="154">
        <v>87053</v>
      </c>
      <c r="E6" s="152">
        <v>91.382712939052297</v>
      </c>
      <c r="F6" s="154">
        <v>1528</v>
      </c>
      <c r="G6" s="152">
        <v>1.60399739665344</v>
      </c>
      <c r="H6" s="154">
        <v>2080</v>
      </c>
      <c r="I6" s="152">
        <v>2.1834519535596564</v>
      </c>
      <c r="J6" s="1">
        <v>4601</v>
      </c>
      <c r="K6" s="64">
        <v>4.8298377107346058</v>
      </c>
      <c r="L6" s="154">
        <v>2021</v>
      </c>
      <c r="M6" s="152">
        <v>2.1215174991077239</v>
      </c>
      <c r="N6" s="154">
        <v>2580</v>
      </c>
      <c r="O6" s="152">
        <v>2.7083202116268819</v>
      </c>
    </row>
    <row r="7" spans="1:15" x14ac:dyDescent="0.25">
      <c r="A7" s="124" t="s">
        <v>86</v>
      </c>
      <c r="B7" s="21" t="s">
        <v>145</v>
      </c>
      <c r="C7" s="154">
        <v>169508</v>
      </c>
      <c r="D7" s="154">
        <v>153206</v>
      </c>
      <c r="E7" s="152">
        <v>90.382754796233812</v>
      </c>
      <c r="F7" s="154">
        <v>2614</v>
      </c>
      <c r="G7" s="152">
        <v>1.5421101068976095</v>
      </c>
      <c r="H7" s="154">
        <v>2922</v>
      </c>
      <c r="I7" s="152">
        <v>1.7238124454303041</v>
      </c>
      <c r="J7" s="1">
        <v>10766</v>
      </c>
      <c r="K7" s="64">
        <v>6.3513226514382808</v>
      </c>
      <c r="L7" s="154">
        <v>3266</v>
      </c>
      <c r="M7" s="152">
        <v>1.9267527196356513</v>
      </c>
      <c r="N7" s="154">
        <v>7500</v>
      </c>
      <c r="O7" s="152">
        <v>4.4245699318026288</v>
      </c>
    </row>
    <row r="8" spans="1:15" x14ac:dyDescent="0.25">
      <c r="A8" s="119" t="s">
        <v>87</v>
      </c>
      <c r="B8" s="209" t="s">
        <v>146</v>
      </c>
      <c r="C8" s="154">
        <v>148755</v>
      </c>
      <c r="D8" s="154">
        <v>132191</v>
      </c>
      <c r="E8" s="152">
        <v>88.864912103794836</v>
      </c>
      <c r="F8" s="154">
        <v>1909</v>
      </c>
      <c r="G8" s="152">
        <v>1.2833182077913348</v>
      </c>
      <c r="H8" s="154">
        <v>2654</v>
      </c>
      <c r="I8" s="152">
        <v>1.7841417095223688</v>
      </c>
      <c r="J8" s="1">
        <v>12001</v>
      </c>
      <c r="K8" s="64">
        <v>8.0676279788914655</v>
      </c>
      <c r="L8" s="154">
        <v>3847</v>
      </c>
      <c r="M8" s="152">
        <v>2.5861315586030722</v>
      </c>
      <c r="N8" s="154">
        <v>8154</v>
      </c>
      <c r="O8" s="152">
        <v>5.4814964202883942</v>
      </c>
    </row>
    <row r="9" spans="1:15" x14ac:dyDescent="0.25">
      <c r="A9" s="121" t="s">
        <v>295</v>
      </c>
      <c r="B9" s="210" t="s">
        <v>294</v>
      </c>
      <c r="C9" s="154">
        <v>621210</v>
      </c>
      <c r="D9" s="154">
        <v>535512</v>
      </c>
      <c r="E9" s="152">
        <v>86.204665089100303</v>
      </c>
      <c r="F9" s="154">
        <v>16651</v>
      </c>
      <c r="G9" s="152">
        <v>2.6804140306820559</v>
      </c>
      <c r="H9" s="154">
        <v>17573</v>
      </c>
      <c r="I9" s="152">
        <v>2.8288340496772428</v>
      </c>
      <c r="J9" s="1">
        <v>51474</v>
      </c>
      <c r="K9" s="64">
        <v>8.2860868305403965</v>
      </c>
      <c r="L9" s="154">
        <v>18223</v>
      </c>
      <c r="M9" s="152">
        <v>2.9334685533072551</v>
      </c>
      <c r="N9" s="154">
        <v>33251</v>
      </c>
      <c r="O9" s="152">
        <v>5.3526182772331419</v>
      </c>
    </row>
    <row r="10" spans="1:15" x14ac:dyDescent="0.25">
      <c r="A10" s="5" t="s">
        <v>297</v>
      </c>
      <c r="B10" s="211" t="s">
        <v>296</v>
      </c>
      <c r="C10" s="22">
        <v>5846965</v>
      </c>
      <c r="D10" s="22">
        <v>5204750</v>
      </c>
      <c r="E10" s="152">
        <v>89.016267413948952</v>
      </c>
      <c r="F10" s="154">
        <v>85547</v>
      </c>
      <c r="G10" s="152">
        <v>1.463100942112703</v>
      </c>
      <c r="H10" s="22">
        <v>106825</v>
      </c>
      <c r="I10" s="152">
        <v>1.8270162383390358</v>
      </c>
      <c r="J10" s="1">
        <v>449843</v>
      </c>
      <c r="K10" s="64">
        <v>7.6936154055993144</v>
      </c>
      <c r="L10" s="154">
        <v>133940</v>
      </c>
      <c r="M10" s="152">
        <v>2.2907611042652043</v>
      </c>
      <c r="N10" s="22">
        <v>315903</v>
      </c>
      <c r="O10" s="152">
        <v>5.402854301334111</v>
      </c>
    </row>
    <row r="11" spans="1:15" x14ac:dyDescent="0.25">
      <c r="A11" s="5" t="s">
        <v>299</v>
      </c>
      <c r="B11" s="211" t="s">
        <v>298</v>
      </c>
      <c r="C11" s="22">
        <v>56075912</v>
      </c>
      <c r="D11" s="22">
        <v>48570902</v>
      </c>
      <c r="E11" s="152">
        <v>86.616338937117959</v>
      </c>
      <c r="F11" s="22">
        <v>955481</v>
      </c>
      <c r="G11" s="152">
        <v>1.7039063047249237</v>
      </c>
      <c r="H11" s="22">
        <v>1199710</v>
      </c>
      <c r="I11" s="152">
        <v>2.1394391231657544</v>
      </c>
      <c r="J11" s="1">
        <v>5349819</v>
      </c>
      <c r="K11" s="64">
        <v>9.5403156349913676</v>
      </c>
      <c r="L11" s="22">
        <v>1557353</v>
      </c>
      <c r="M11" s="152">
        <v>2.7772227761538679</v>
      </c>
      <c r="N11" s="22">
        <v>3792466</v>
      </c>
      <c r="O11" s="152">
        <v>6.7630928588374983</v>
      </c>
    </row>
    <row r="14" spans="1:15" x14ac:dyDescent="0.25">
      <c r="B14"/>
      <c r="C14"/>
      <c r="E14"/>
      <c r="G14"/>
      <c r="I14"/>
      <c r="J14"/>
      <c r="K14"/>
      <c r="M14"/>
      <c r="O14"/>
    </row>
    <row r="15" spans="1:15" x14ac:dyDescent="0.25">
      <c r="B15"/>
      <c r="C15"/>
      <c r="E15"/>
      <c r="G15"/>
      <c r="I15"/>
      <c r="J15"/>
      <c r="K15"/>
      <c r="M15"/>
      <c r="O15"/>
    </row>
    <row r="16" spans="1:15" x14ac:dyDescent="0.25">
      <c r="B16"/>
      <c r="C16"/>
      <c r="E16"/>
      <c r="G16"/>
      <c r="I16"/>
      <c r="J16"/>
      <c r="K16"/>
      <c r="M16"/>
      <c r="O16"/>
    </row>
    <row r="17" spans="2:15" x14ac:dyDescent="0.25">
      <c r="B17"/>
      <c r="C17"/>
      <c r="E17"/>
      <c r="G17"/>
      <c r="I17"/>
      <c r="J17"/>
      <c r="K17"/>
      <c r="M17"/>
      <c r="O17"/>
    </row>
    <row r="18" spans="2:15" x14ac:dyDescent="0.25">
      <c r="B18"/>
      <c r="C18"/>
      <c r="E18"/>
      <c r="G18"/>
      <c r="I18"/>
      <c r="J18"/>
      <c r="K18"/>
      <c r="M18"/>
      <c r="O18"/>
    </row>
    <row r="19" spans="2:15" x14ac:dyDescent="0.25">
      <c r="B19"/>
      <c r="C19"/>
      <c r="E19"/>
      <c r="G19"/>
      <c r="I19"/>
      <c r="J19"/>
      <c r="K19"/>
      <c r="M19"/>
      <c r="O19"/>
    </row>
    <row r="20" spans="2:15" x14ac:dyDescent="0.25">
      <c r="B20"/>
      <c r="C20"/>
      <c r="E20"/>
      <c r="G20"/>
      <c r="I20"/>
      <c r="J20"/>
      <c r="K20"/>
      <c r="M20"/>
      <c r="O20"/>
    </row>
    <row r="21" spans="2:15" x14ac:dyDescent="0.25">
      <c r="B21"/>
      <c r="C21"/>
      <c r="E21"/>
      <c r="G21"/>
      <c r="I21"/>
      <c r="J21"/>
      <c r="K21"/>
      <c r="M21"/>
      <c r="O21"/>
    </row>
    <row r="22" spans="2:15" x14ac:dyDescent="0.25">
      <c r="B22"/>
      <c r="C22"/>
      <c r="E22"/>
      <c r="G22"/>
      <c r="I22"/>
      <c r="J22"/>
      <c r="K22"/>
      <c r="M22"/>
      <c r="O22"/>
    </row>
    <row r="23" spans="2:15" x14ac:dyDescent="0.25">
      <c r="B23"/>
      <c r="C23"/>
      <c r="E23"/>
      <c r="G23"/>
      <c r="I23"/>
      <c r="J23"/>
      <c r="K23"/>
      <c r="M23"/>
      <c r="O23"/>
    </row>
    <row r="24" spans="2:15" x14ac:dyDescent="0.25">
      <c r="B24"/>
      <c r="C24"/>
      <c r="E24"/>
      <c r="G24"/>
      <c r="I24"/>
      <c r="J24"/>
      <c r="K24"/>
      <c r="M24"/>
      <c r="O24"/>
    </row>
    <row r="25" spans="2:15" x14ac:dyDescent="0.25">
      <c r="B25"/>
      <c r="C25"/>
      <c r="E25"/>
      <c r="G25"/>
      <c r="I25"/>
      <c r="J25"/>
      <c r="K25"/>
      <c r="M25"/>
      <c r="O25"/>
    </row>
    <row r="26" spans="2:15" x14ac:dyDescent="0.25">
      <c r="B26"/>
      <c r="C26"/>
      <c r="E26"/>
      <c r="G26"/>
      <c r="I26"/>
      <c r="J26"/>
      <c r="K26"/>
      <c r="M26"/>
      <c r="O26"/>
    </row>
    <row r="27" spans="2:15" x14ac:dyDescent="0.25">
      <c r="B27"/>
      <c r="C27"/>
      <c r="E27"/>
      <c r="G27"/>
      <c r="I27"/>
      <c r="J27"/>
      <c r="K27"/>
      <c r="M27"/>
      <c r="O27"/>
    </row>
    <row r="28" spans="2:15" x14ac:dyDescent="0.25">
      <c r="B28"/>
      <c r="C28"/>
      <c r="E28"/>
      <c r="G28"/>
      <c r="I28"/>
      <c r="J28"/>
      <c r="K28"/>
      <c r="M28"/>
      <c r="O28"/>
    </row>
    <row r="29" spans="2:15" x14ac:dyDescent="0.25">
      <c r="B29"/>
      <c r="C29"/>
      <c r="E29"/>
      <c r="G29"/>
      <c r="I29"/>
      <c r="J29"/>
      <c r="K29"/>
      <c r="M29"/>
      <c r="O29"/>
    </row>
    <row r="30" spans="2:15" x14ac:dyDescent="0.25">
      <c r="B30"/>
      <c r="C30"/>
      <c r="E30"/>
      <c r="G30"/>
      <c r="I30"/>
      <c r="J30"/>
      <c r="K30"/>
      <c r="M30"/>
      <c r="O30"/>
    </row>
  </sheetData>
  <mergeCells count="8">
    <mergeCell ref="A1:B2"/>
    <mergeCell ref="J2:K2"/>
    <mergeCell ref="C1:O1"/>
    <mergeCell ref="D2:E2"/>
    <mergeCell ref="F2:G2"/>
    <mergeCell ref="H2:I2"/>
    <mergeCell ref="L2:M2"/>
    <mergeCell ref="N2:O2"/>
  </mergeCells>
  <phoneticPr fontId="4" type="noConversion"/>
  <hyperlinks>
    <hyperlink ref="A1:A2" location="Front!A1" display="Click here to return to homepage"/>
    <hyperlink ref="A1:B2" location="'Data by topic'!A1" display="Click here to return to homepage"/>
  </hyperlinks>
  <pageMargins left="0.75" right="0.75" top="1" bottom="1" header="0.5" footer="0.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B17"/>
  <sheetViews>
    <sheetView showGridLines="0" workbookViewId="0"/>
  </sheetViews>
  <sheetFormatPr defaultRowHeight="13.2" x14ac:dyDescent="0.25"/>
  <cols>
    <col min="1" max="1" width="22.44140625" customWidth="1"/>
    <col min="2" max="2" width="64.44140625" style="18" customWidth="1"/>
  </cols>
  <sheetData>
    <row r="1" spans="1:2" ht="33" customHeight="1" thickBot="1" x14ac:dyDescent="0.3">
      <c r="A1" s="247" t="s">
        <v>379</v>
      </c>
      <c r="B1" s="394" t="s">
        <v>284</v>
      </c>
    </row>
    <row r="2" spans="1:2" ht="37.5" customHeight="1" thickBot="1" x14ac:dyDescent="0.3">
      <c r="A2" s="189" t="s">
        <v>327</v>
      </c>
      <c r="B2" s="395"/>
    </row>
    <row r="3" spans="1:2" ht="52.8" x14ac:dyDescent="0.25">
      <c r="A3" s="190" t="s">
        <v>286</v>
      </c>
      <c r="B3" s="192" t="s">
        <v>288</v>
      </c>
    </row>
    <row r="4" spans="1:2" ht="52.8" x14ac:dyDescent="0.25">
      <c r="A4" s="190" t="s">
        <v>285</v>
      </c>
      <c r="B4" s="192" t="s">
        <v>289</v>
      </c>
    </row>
    <row r="5" spans="1:2" ht="93.75" customHeight="1" x14ac:dyDescent="0.25">
      <c r="A5" s="190" t="s">
        <v>287</v>
      </c>
      <c r="B5" s="193" t="s">
        <v>357</v>
      </c>
    </row>
    <row r="6" spans="1:2" ht="29.25" customHeight="1" x14ac:dyDescent="0.25">
      <c r="A6" s="190" t="s">
        <v>171</v>
      </c>
      <c r="B6" s="192" t="s">
        <v>330</v>
      </c>
    </row>
    <row r="7" spans="1:2" ht="66" customHeight="1" x14ac:dyDescent="0.25">
      <c r="A7" s="190" t="s">
        <v>74</v>
      </c>
      <c r="B7" s="194" t="s">
        <v>332</v>
      </c>
    </row>
    <row r="8" spans="1:2" ht="52.8" x14ac:dyDescent="0.25">
      <c r="A8" s="191" t="s">
        <v>159</v>
      </c>
      <c r="B8" s="193" t="s">
        <v>358</v>
      </c>
    </row>
    <row r="9" spans="1:2" ht="39.6" x14ac:dyDescent="0.25">
      <c r="A9" s="190" t="s">
        <v>163</v>
      </c>
      <c r="B9" s="192" t="s">
        <v>331</v>
      </c>
    </row>
    <row r="10" spans="1:2" ht="39.6" x14ac:dyDescent="0.25">
      <c r="A10" s="190" t="s">
        <v>113</v>
      </c>
      <c r="B10" s="192" t="s">
        <v>290</v>
      </c>
    </row>
    <row r="11" spans="1:2" ht="45" customHeight="1" x14ac:dyDescent="0.25">
      <c r="A11" s="190" t="s">
        <v>125</v>
      </c>
      <c r="B11" s="192" t="s">
        <v>0</v>
      </c>
    </row>
    <row r="12" spans="1:2" ht="76.5" customHeight="1" x14ac:dyDescent="0.25">
      <c r="A12" s="190" t="s">
        <v>1</v>
      </c>
      <c r="B12" s="195" t="s">
        <v>333</v>
      </c>
    </row>
    <row r="13" spans="1:2" ht="90" customHeight="1" x14ac:dyDescent="0.25">
      <c r="A13" s="212" t="s">
        <v>359</v>
      </c>
      <c r="B13" s="213" t="s">
        <v>386</v>
      </c>
    </row>
    <row r="14" spans="1:2" ht="105.75" customHeight="1" x14ac:dyDescent="0.25">
      <c r="A14" s="214" t="s">
        <v>360</v>
      </c>
      <c r="B14" s="193" t="s">
        <v>387</v>
      </c>
    </row>
    <row r="15" spans="1:2" ht="19.5" customHeight="1" x14ac:dyDescent="0.25">
      <c r="A15" s="15"/>
      <c r="B15" s="215" t="s">
        <v>388</v>
      </c>
    </row>
    <row r="16" spans="1:2" ht="12.75" customHeight="1" x14ac:dyDescent="0.25">
      <c r="A16" s="15"/>
      <c r="B16" s="215"/>
    </row>
    <row r="17" spans="1:2" ht="12" customHeight="1" thickBot="1" x14ac:dyDescent="0.3">
      <c r="A17" s="396" t="s">
        <v>382</v>
      </c>
      <c r="B17" s="397"/>
    </row>
  </sheetData>
  <mergeCells count="2">
    <mergeCell ref="B1:B2"/>
    <mergeCell ref="A17:B17"/>
  </mergeCells>
  <phoneticPr fontId="4" type="noConversion"/>
  <hyperlinks>
    <hyperlink ref="A1" location="'Data by district'!A1" display="Click here to return to district homepage"/>
    <hyperlink ref="A2" location="'Data by topic'!A1" display="Click here to return to topic homepage"/>
    <hyperlink ref="B15" r:id="rId1" display="ONS website: Protecting cofidentiality with statistical disclosure conctrol"/>
  </hyperlinks>
  <pageMargins left="0.75" right="0.75" top="1" bottom="1" header="0.5" footer="0.5"/>
  <pageSetup paperSize="9" fitToHeight="3"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autoPageBreaks="0"/>
  </sheetPr>
  <dimension ref="B2:H32"/>
  <sheetViews>
    <sheetView showFormulas="1" showRowColHeaders="0" showRuler="0" zoomScaleNormal="100" workbookViewId="0">
      <selection activeCell="B27" sqref="B27:D27"/>
    </sheetView>
  </sheetViews>
  <sheetFormatPr defaultColWidth="9.109375" defaultRowHeight="17.399999999999999" x14ac:dyDescent="0.3"/>
  <cols>
    <col min="1" max="1" width="4" style="95" customWidth="1"/>
    <col min="2" max="2" width="13.5546875" style="95" customWidth="1"/>
    <col min="3" max="5" width="15.6640625" style="95" customWidth="1"/>
    <col min="6" max="6" width="15.6640625" style="100" customWidth="1"/>
    <col min="7" max="7" width="17.88671875" style="95" customWidth="1"/>
    <col min="8" max="16384" width="9.109375" style="95"/>
  </cols>
  <sheetData>
    <row r="2" spans="2:8" ht="18.75" customHeight="1" x14ac:dyDescent="0.25">
      <c r="B2" s="249" t="s">
        <v>362</v>
      </c>
      <c r="C2" s="249"/>
      <c r="D2" s="249"/>
      <c r="E2" s="249"/>
      <c r="F2" s="249"/>
      <c r="G2" s="249"/>
      <c r="H2" s="94"/>
    </row>
    <row r="3" spans="2:8" ht="18.75" customHeight="1" x14ac:dyDescent="0.25">
      <c r="B3" s="249"/>
      <c r="C3" s="249"/>
      <c r="D3" s="249"/>
      <c r="E3" s="249"/>
      <c r="F3" s="249"/>
      <c r="G3" s="249"/>
      <c r="H3" s="94"/>
    </row>
    <row r="4" spans="2:8" ht="18.75" customHeight="1" x14ac:dyDescent="0.25">
      <c r="B4" s="162"/>
      <c r="C4" s="162"/>
      <c r="D4" s="162"/>
      <c r="E4" s="162"/>
      <c r="F4" s="162"/>
      <c r="G4" s="162"/>
      <c r="H4" s="94"/>
    </row>
    <row r="5" spans="2:8" ht="18.75" customHeight="1" x14ac:dyDescent="0.25">
      <c r="B5" s="162"/>
      <c r="C5" s="249" t="s">
        <v>313</v>
      </c>
      <c r="D5" s="249"/>
      <c r="E5" s="249"/>
      <c r="F5" s="249"/>
      <c r="G5" s="162"/>
      <c r="H5" s="94"/>
    </row>
    <row r="6" spans="2:8" ht="18.75" customHeight="1" x14ac:dyDescent="0.25">
      <c r="B6" s="162"/>
      <c r="C6" s="249"/>
      <c r="D6" s="249"/>
      <c r="E6" s="249"/>
      <c r="F6" s="249"/>
      <c r="G6" s="162"/>
      <c r="H6" s="94"/>
    </row>
    <row r="7" spans="2:8" ht="18.75" customHeight="1" x14ac:dyDescent="0.25">
      <c r="B7" s="96"/>
      <c r="C7" s="96"/>
      <c r="D7" s="96"/>
      <c r="E7" s="96"/>
      <c r="F7" s="96"/>
      <c r="G7" s="96"/>
    </row>
    <row r="8" spans="2:8" ht="18.75" customHeight="1" x14ac:dyDescent="0.25">
      <c r="B8" s="250" t="s">
        <v>365</v>
      </c>
      <c r="C8" s="250"/>
      <c r="D8" s="250"/>
      <c r="E8" s="250"/>
      <c r="F8" s="250"/>
      <c r="G8" s="250"/>
    </row>
    <row r="9" spans="2:8" ht="18.75" customHeight="1" x14ac:dyDescent="0.25">
      <c r="B9" s="250"/>
      <c r="C9" s="250"/>
      <c r="D9" s="250"/>
      <c r="E9" s="250"/>
      <c r="F9" s="250"/>
      <c r="G9" s="250"/>
    </row>
    <row r="10" spans="2:8" ht="8.25" customHeight="1" x14ac:dyDescent="0.25">
      <c r="B10" s="250"/>
      <c r="C10" s="250"/>
      <c r="D10" s="250"/>
      <c r="E10" s="250"/>
      <c r="F10" s="250"/>
      <c r="G10" s="250"/>
    </row>
    <row r="11" spans="2:8" ht="18.75" customHeight="1" x14ac:dyDescent="0.25">
      <c r="B11" s="250" t="s">
        <v>328</v>
      </c>
      <c r="C11" s="250"/>
      <c r="D11" s="250"/>
      <c r="E11" s="250"/>
      <c r="F11" s="250"/>
      <c r="G11" s="250"/>
    </row>
    <row r="12" spans="2:8" ht="18.75" customHeight="1" x14ac:dyDescent="0.25">
      <c r="B12" s="250"/>
      <c r="C12" s="250"/>
      <c r="D12" s="250"/>
      <c r="E12" s="250"/>
      <c r="F12" s="250"/>
      <c r="G12" s="250"/>
    </row>
    <row r="13" spans="2:8" ht="13.5" customHeight="1" x14ac:dyDescent="0.25">
      <c r="B13" s="250"/>
      <c r="C13" s="250"/>
      <c r="D13" s="250"/>
      <c r="E13" s="250"/>
      <c r="F13" s="250"/>
      <c r="G13" s="250"/>
    </row>
    <row r="14" spans="2:8" ht="18.75" customHeight="1" thickBot="1" x14ac:dyDescent="0.3">
      <c r="B14" s="97"/>
      <c r="C14" s="97"/>
      <c r="D14" s="97"/>
      <c r="E14" s="97"/>
      <c r="F14" s="97"/>
      <c r="G14" s="97"/>
    </row>
    <row r="15" spans="2:8" x14ac:dyDescent="0.3">
      <c r="B15" s="101" t="s">
        <v>314</v>
      </c>
      <c r="C15" s="112"/>
      <c r="D15" s="112"/>
      <c r="E15" s="112"/>
      <c r="F15" s="113"/>
      <c r="G15" s="114"/>
    </row>
    <row r="16" spans="2:8" ht="8.25" customHeight="1" x14ac:dyDescent="0.3">
      <c r="B16" s="166"/>
      <c r="C16" s="105"/>
      <c r="D16" s="105"/>
      <c r="E16" s="105"/>
      <c r="F16" s="106"/>
      <c r="G16" s="107"/>
    </row>
    <row r="17" spans="2:7" ht="28.5" customHeight="1" x14ac:dyDescent="0.25">
      <c r="B17" s="265" t="s">
        <v>380</v>
      </c>
      <c r="C17" s="266"/>
      <c r="D17" s="266"/>
      <c r="E17" s="266"/>
      <c r="F17" s="266"/>
      <c r="G17" s="107"/>
    </row>
    <row r="18" spans="2:7" ht="13.8" thickBot="1" x14ac:dyDescent="0.3">
      <c r="B18" s="104"/>
      <c r="C18" s="105"/>
      <c r="D18" s="105"/>
      <c r="E18" s="105"/>
      <c r="F18" s="105"/>
      <c r="G18" s="107"/>
    </row>
    <row r="19" spans="2:7" ht="15.75" customHeight="1" thickBot="1" x14ac:dyDescent="0.35">
      <c r="B19" s="115"/>
      <c r="C19" s="201" t="s">
        <v>157</v>
      </c>
      <c r="D19" s="202"/>
      <c r="E19" s="201" t="s">
        <v>159</v>
      </c>
      <c r="F19" s="202"/>
      <c r="G19" s="168"/>
    </row>
    <row r="20" spans="2:7" ht="16.2" thickBot="1" x14ac:dyDescent="0.35">
      <c r="B20" s="104"/>
      <c r="C20" s="202"/>
      <c r="D20" s="201" t="s">
        <v>325</v>
      </c>
      <c r="E20" s="202"/>
      <c r="F20" s="201" t="s">
        <v>160</v>
      </c>
      <c r="G20" s="107"/>
    </row>
    <row r="21" spans="2:7" ht="16.2" thickBot="1" x14ac:dyDescent="0.35">
      <c r="B21" s="104"/>
      <c r="C21" s="201" t="s">
        <v>161</v>
      </c>
      <c r="D21" s="203"/>
      <c r="E21" s="201" t="s">
        <v>113</v>
      </c>
      <c r="F21" s="203"/>
      <c r="G21" s="167"/>
    </row>
    <row r="22" spans="2:7" ht="16.2" thickBot="1" x14ac:dyDescent="0.35">
      <c r="B22" s="104"/>
      <c r="C22" s="203"/>
      <c r="D22" s="201" t="s">
        <v>163</v>
      </c>
      <c r="E22" s="203"/>
      <c r="F22" s="201" t="s">
        <v>158</v>
      </c>
      <c r="G22" s="167"/>
    </row>
    <row r="23" spans="2:7" ht="16.2" thickBot="1" x14ac:dyDescent="0.35">
      <c r="B23" s="104"/>
      <c r="C23" s="201" t="s">
        <v>74</v>
      </c>
      <c r="D23" s="203"/>
      <c r="E23" s="201" t="s">
        <v>162</v>
      </c>
      <c r="F23" s="203"/>
      <c r="G23" s="167"/>
    </row>
    <row r="24" spans="2:7" ht="16.2" thickBot="1" x14ac:dyDescent="0.35">
      <c r="B24" s="104"/>
      <c r="C24" s="203"/>
      <c r="D24" s="201" t="s">
        <v>205</v>
      </c>
      <c r="E24" s="204"/>
      <c r="F24" s="201" t="s">
        <v>315</v>
      </c>
      <c r="G24" s="167"/>
    </row>
    <row r="25" spans="2:7" ht="18" thickBot="1" x14ac:dyDescent="0.35">
      <c r="B25" s="109"/>
      <c r="C25" s="110"/>
      <c r="D25" s="110"/>
      <c r="E25" s="110"/>
      <c r="F25" s="116"/>
      <c r="G25" s="111"/>
    </row>
    <row r="26" spans="2:7" ht="18" thickBot="1" x14ac:dyDescent="0.35">
      <c r="B26" s="98"/>
      <c r="C26" s="98"/>
      <c r="D26" s="98"/>
      <c r="E26" s="98"/>
      <c r="F26" s="99"/>
      <c r="G26" s="98"/>
    </row>
    <row r="27" spans="2:7" ht="18" thickBot="1" x14ac:dyDescent="0.35">
      <c r="B27" s="262" t="s">
        <v>377</v>
      </c>
      <c r="C27" s="263"/>
      <c r="D27" s="264"/>
      <c r="E27" s="98"/>
      <c r="F27" s="99"/>
    </row>
    <row r="28" spans="2:7" ht="18" thickBot="1" x14ac:dyDescent="0.35">
      <c r="C28" s="98"/>
      <c r="D28" s="98"/>
      <c r="E28" s="98"/>
      <c r="F28" s="99"/>
      <c r="G28" s="165"/>
    </row>
    <row r="29" spans="2:7" ht="18" thickBot="1" x14ac:dyDescent="0.35">
      <c r="B29" s="198" t="s">
        <v>293</v>
      </c>
      <c r="C29" s="206"/>
      <c r="E29" s="98"/>
      <c r="F29" s="99"/>
      <c r="G29" s="165"/>
    </row>
    <row r="30" spans="2:7" x14ac:dyDescent="0.3">
      <c r="C30" s="98"/>
      <c r="D30" s="98"/>
      <c r="E30" s="98"/>
      <c r="F30" s="99"/>
      <c r="G30" s="165"/>
    </row>
    <row r="31" spans="2:7" x14ac:dyDescent="0.3">
      <c r="B31" s="98"/>
      <c r="C31" s="98"/>
      <c r="D31" s="98"/>
      <c r="E31" s="98"/>
      <c r="F31" s="99"/>
      <c r="G31" s="98"/>
    </row>
    <row r="32" spans="2:7" ht="18" customHeight="1" x14ac:dyDescent="0.3">
      <c r="B32" s="248" t="s">
        <v>354</v>
      </c>
      <c r="C32" s="248"/>
      <c r="D32" s="248"/>
      <c r="E32" s="248"/>
      <c r="F32" s="248"/>
      <c r="G32" s="248"/>
    </row>
  </sheetData>
  <mergeCells count="8">
    <mergeCell ref="B32:G32"/>
    <mergeCell ref="B27:D27"/>
    <mergeCell ref="B2:G3"/>
    <mergeCell ref="B11:G13"/>
    <mergeCell ref="C5:F6"/>
    <mergeCell ref="B8:G9"/>
    <mergeCell ref="B10:G10"/>
    <mergeCell ref="B17:F17"/>
  </mergeCells>
  <phoneticPr fontId="4" type="noConversion"/>
  <hyperlinks>
    <hyperlink ref="C19" location="iadatasheet_population!A1" display="Population"/>
    <hyperlink ref="F22" location="iadatasheet_ethnicity!A1" display="Ethnicity"/>
    <hyperlink ref="E19" location="iadatasheet_health!A1" display="Health"/>
    <hyperlink ref="F20" location="'iadatasheet_household type'!A1" display="Household type"/>
    <hyperlink ref="C21" location="'iadatasheet_dwelling type'!A1" display="Dwelling type"/>
    <hyperlink ref="E23" location="'iadatasheet_economic activity'!A1" display="Economic Activity"/>
    <hyperlink ref="C23" location="iadatasheet_religion!A1" display="Religion"/>
    <hyperlink ref="E21" location="'iadatasheet_passports held'!A1" display="Passports held"/>
    <hyperlink ref="D20" location="'iadatasheet_length of residence'!A1" display="Length of Residence "/>
    <hyperlink ref="D22" location="'iadatasheet_country of birth'!A1" display="Country of birth"/>
    <hyperlink ref="B32:G32" location="'About Us'!A1" display="Cambridgeshire County Council, Research and Performance Team, April 2013"/>
    <hyperlink ref="B29" location="Metadata!A1" display="Metadata"/>
    <hyperlink ref="B27:D27" location="'Data by district'!A1" display="Alternatively, to view data by district click here"/>
    <hyperlink ref="D24" location="'iadatasheet_travel to work'!A1" display="Travel to work"/>
    <hyperlink ref="F24" location="iadatasheet_qualifications!A1" display="Qualifications"/>
  </hyperlink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F36"/>
  <sheetViews>
    <sheetView showGridLines="0" workbookViewId="0">
      <selection activeCell="A37" sqref="A37"/>
    </sheetView>
  </sheetViews>
  <sheetFormatPr defaultRowHeight="13.2" x14ac:dyDescent="0.25"/>
  <sheetData>
    <row r="1" spans="1:6" x14ac:dyDescent="0.25">
      <c r="A1" s="267" t="s">
        <v>381</v>
      </c>
      <c r="B1" s="268"/>
      <c r="C1" s="269"/>
      <c r="D1" s="268" t="s">
        <v>356</v>
      </c>
      <c r="E1" s="268"/>
      <c r="F1" s="269"/>
    </row>
    <row r="2" spans="1:6" x14ac:dyDescent="0.25">
      <c r="A2" s="270"/>
      <c r="B2" s="271"/>
      <c r="C2" s="272"/>
      <c r="D2" s="271"/>
      <c r="E2" s="271"/>
      <c r="F2" s="272"/>
    </row>
    <row r="5" spans="1:6" ht="15.6" x14ac:dyDescent="0.3">
      <c r="A5" s="169" t="s">
        <v>257</v>
      </c>
      <c r="B5" s="6"/>
      <c r="C5" s="6"/>
      <c r="D5" s="6"/>
      <c r="E5" s="6"/>
      <c r="F5" s="6"/>
    </row>
    <row r="6" spans="1:6" x14ac:dyDescent="0.25">
      <c r="A6" s="73" t="s">
        <v>258</v>
      </c>
      <c r="B6" s="6"/>
      <c r="C6" s="6"/>
      <c r="D6" s="6"/>
      <c r="E6" s="6"/>
      <c r="F6" s="6"/>
    </row>
    <row r="7" spans="1:6" x14ac:dyDescent="0.25">
      <c r="A7" s="74" t="s">
        <v>259</v>
      </c>
      <c r="B7" s="6"/>
      <c r="C7" s="6"/>
      <c r="D7" s="6"/>
      <c r="E7" s="6"/>
      <c r="F7" s="6"/>
    </row>
    <row r="8" spans="1:6" x14ac:dyDescent="0.25">
      <c r="A8" s="74"/>
      <c r="B8" s="6"/>
      <c r="C8" s="6"/>
      <c r="D8" s="6"/>
      <c r="E8" s="6"/>
      <c r="F8" s="6"/>
    </row>
    <row r="9" spans="1:6" x14ac:dyDescent="0.25">
      <c r="A9" s="75" t="s">
        <v>260</v>
      </c>
      <c r="B9" s="6"/>
      <c r="C9" s="6"/>
      <c r="D9" s="6"/>
      <c r="E9" s="6"/>
      <c r="F9" s="6"/>
    </row>
    <row r="10" spans="1:6" x14ac:dyDescent="0.25">
      <c r="A10" s="6"/>
      <c r="B10" s="6"/>
      <c r="C10" s="6"/>
      <c r="D10" s="6"/>
      <c r="E10" s="6"/>
      <c r="F10" s="6"/>
    </row>
    <row r="11" spans="1:6" x14ac:dyDescent="0.25">
      <c r="A11" s="76" t="s">
        <v>261</v>
      </c>
      <c r="B11" s="6"/>
      <c r="C11" s="6"/>
      <c r="D11" s="6"/>
      <c r="E11" s="6"/>
      <c r="F11" s="6"/>
    </row>
    <row r="12" spans="1:6" x14ac:dyDescent="0.25">
      <c r="A12" s="76" t="s">
        <v>262</v>
      </c>
      <c r="B12" s="6"/>
      <c r="C12" s="6"/>
      <c r="D12" s="6"/>
      <c r="E12" s="6"/>
      <c r="F12" s="6"/>
    </row>
    <row r="13" spans="1:6" x14ac:dyDescent="0.25">
      <c r="A13" s="76" t="s">
        <v>263</v>
      </c>
      <c r="B13" s="6"/>
      <c r="C13" s="6"/>
      <c r="D13" s="6"/>
      <c r="E13" s="6"/>
      <c r="F13" s="6"/>
    </row>
    <row r="14" spans="1:6" x14ac:dyDescent="0.25">
      <c r="A14" s="76" t="s">
        <v>264</v>
      </c>
      <c r="B14" s="6"/>
      <c r="C14" s="6"/>
      <c r="D14" s="6"/>
      <c r="E14" s="6"/>
      <c r="F14" s="6"/>
    </row>
    <row r="15" spans="1:6" x14ac:dyDescent="0.25">
      <c r="A15" s="76" t="s">
        <v>265</v>
      </c>
      <c r="B15" s="6"/>
      <c r="C15" s="6"/>
      <c r="D15" s="6"/>
      <c r="E15" s="6"/>
      <c r="F15" s="6"/>
    </row>
    <row r="16" spans="1:6" x14ac:dyDescent="0.25">
      <c r="A16" s="76" t="s">
        <v>266</v>
      </c>
      <c r="B16" s="6"/>
      <c r="C16" s="6"/>
      <c r="D16" s="6"/>
      <c r="E16" s="6"/>
      <c r="F16" s="6"/>
    </row>
    <row r="17" spans="1:6" x14ac:dyDescent="0.25">
      <c r="A17" s="76" t="s">
        <v>267</v>
      </c>
      <c r="B17" s="6"/>
      <c r="C17" s="6"/>
      <c r="D17" s="6"/>
      <c r="E17" s="6"/>
      <c r="F17" s="6"/>
    </row>
    <row r="18" spans="1:6" x14ac:dyDescent="0.25">
      <c r="A18" s="76" t="s">
        <v>268</v>
      </c>
      <c r="B18" s="6"/>
      <c r="C18" s="6"/>
      <c r="D18" s="6"/>
      <c r="E18" s="6"/>
      <c r="F18" s="6"/>
    </row>
    <row r="19" spans="1:6" x14ac:dyDescent="0.25">
      <c r="A19" s="76" t="s">
        <v>269</v>
      </c>
      <c r="B19" s="6"/>
      <c r="C19" s="6"/>
      <c r="D19" s="6"/>
      <c r="E19" s="6"/>
      <c r="F19" s="6"/>
    </row>
    <row r="20" spans="1:6" x14ac:dyDescent="0.25">
      <c r="A20" s="76" t="s">
        <v>270</v>
      </c>
      <c r="B20" s="6"/>
      <c r="C20" s="6"/>
      <c r="D20" s="6"/>
      <c r="E20" s="6"/>
      <c r="F20" s="6"/>
    </row>
    <row r="21" spans="1:6" x14ac:dyDescent="0.25">
      <c r="A21" s="6"/>
      <c r="B21" s="6"/>
      <c r="C21" s="6"/>
      <c r="D21" s="6"/>
      <c r="E21" s="6"/>
      <c r="F21" s="6"/>
    </row>
    <row r="22" spans="1:6" x14ac:dyDescent="0.25">
      <c r="A22" s="77"/>
      <c r="B22" s="6"/>
      <c r="C22" s="6"/>
      <c r="D22" s="6"/>
      <c r="E22" s="6"/>
      <c r="F22" s="6"/>
    </row>
    <row r="23" spans="1:6" x14ac:dyDescent="0.25">
      <c r="A23" s="6"/>
      <c r="B23" s="6"/>
      <c r="C23" s="6"/>
      <c r="D23" s="6"/>
      <c r="E23" s="6"/>
      <c r="F23" s="6"/>
    </row>
    <row r="24" spans="1:6" x14ac:dyDescent="0.25">
      <c r="A24" s="78" t="s">
        <v>271</v>
      </c>
      <c r="B24" s="6"/>
      <c r="C24" s="6"/>
      <c r="D24" s="6"/>
      <c r="E24" s="6"/>
      <c r="F24" s="6"/>
    </row>
    <row r="25" spans="1:6" x14ac:dyDescent="0.25">
      <c r="A25" s="75" t="s">
        <v>272</v>
      </c>
      <c r="B25" s="6"/>
      <c r="C25" s="6"/>
      <c r="D25" s="6"/>
      <c r="E25" s="6"/>
      <c r="F25" s="6"/>
    </row>
    <row r="26" spans="1:6" x14ac:dyDescent="0.25">
      <c r="A26" s="75" t="s">
        <v>273</v>
      </c>
      <c r="B26" s="6"/>
      <c r="C26" s="6"/>
      <c r="D26" s="6"/>
      <c r="E26" s="6"/>
      <c r="F26" s="6"/>
    </row>
    <row r="27" spans="1:6" x14ac:dyDescent="0.25">
      <c r="A27" s="75" t="s">
        <v>355</v>
      </c>
      <c r="B27" s="6"/>
      <c r="C27" s="6"/>
      <c r="D27" s="6"/>
      <c r="E27" s="6"/>
      <c r="F27" s="6"/>
    </row>
    <row r="28" spans="1:6" x14ac:dyDescent="0.25">
      <c r="A28" s="75" t="s">
        <v>274</v>
      </c>
      <c r="B28" s="6"/>
      <c r="C28" s="6"/>
      <c r="D28" s="6"/>
      <c r="E28" s="6"/>
      <c r="F28" s="6"/>
    </row>
    <row r="29" spans="1:6" x14ac:dyDescent="0.25">
      <c r="A29" s="79" t="s">
        <v>275</v>
      </c>
      <c r="B29" s="6"/>
      <c r="C29" s="6"/>
      <c r="D29" s="6"/>
      <c r="E29" s="6"/>
      <c r="F29" s="6"/>
    </row>
    <row r="30" spans="1:6" x14ac:dyDescent="0.25">
      <c r="A30" s="6"/>
      <c r="B30" s="6"/>
      <c r="C30" s="6"/>
      <c r="D30" s="6"/>
      <c r="E30" s="6"/>
      <c r="F30" s="6"/>
    </row>
    <row r="31" spans="1:6" x14ac:dyDescent="0.25">
      <c r="A31" s="78" t="s">
        <v>276</v>
      </c>
      <c r="B31" s="6"/>
      <c r="C31" s="6"/>
      <c r="D31" s="6"/>
      <c r="E31" s="6"/>
      <c r="F31" s="6"/>
    </row>
    <row r="32" spans="1:6" x14ac:dyDescent="0.25">
      <c r="A32" s="78" t="s">
        <v>277</v>
      </c>
      <c r="B32" s="77" t="s">
        <v>278</v>
      </c>
      <c r="C32" s="6"/>
      <c r="D32" s="6"/>
      <c r="E32" s="6"/>
      <c r="F32" s="6"/>
    </row>
    <row r="33" spans="1:6" x14ac:dyDescent="0.25">
      <c r="A33" s="80" t="s">
        <v>279</v>
      </c>
      <c r="B33" s="81" t="s">
        <v>280</v>
      </c>
      <c r="C33" s="6"/>
      <c r="D33" s="6"/>
      <c r="E33" s="6"/>
      <c r="F33" s="6"/>
    </row>
    <row r="34" spans="1:6" x14ac:dyDescent="0.25">
      <c r="A34" s="80" t="s">
        <v>281</v>
      </c>
      <c r="B34" s="82" t="s">
        <v>282</v>
      </c>
    </row>
    <row r="36" spans="1:6" x14ac:dyDescent="0.25">
      <c r="A36" s="83">
        <v>41671</v>
      </c>
    </row>
  </sheetData>
  <mergeCells count="2">
    <mergeCell ref="A1:C2"/>
    <mergeCell ref="D1:F2"/>
  </mergeCells>
  <phoneticPr fontId="13" type="noConversion"/>
  <hyperlinks>
    <hyperlink ref="B32" r:id="rId1"/>
    <hyperlink ref="B33" r:id="rId2"/>
    <hyperlink ref="B34" r:id="rId3"/>
    <hyperlink ref="A1:C2" location="'Data by district'!A1" display="Click here to return to the district homepage"/>
    <hyperlink ref="D1:F2" location="'Data by topic'!A1" display="Click here to return to the topic homepage"/>
  </hyperlinks>
  <pageMargins left="0.75" right="0.75" top="1" bottom="1" header="0.5" footer="0.5"/>
  <pageSetup paperSize="9" orientation="portrait" verticalDpi="0"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FF"/>
  </sheetPr>
  <dimension ref="A1:IU127"/>
  <sheetViews>
    <sheetView showGridLines="0" zoomScaleNormal="100" workbookViewId="0">
      <selection activeCell="M5" sqref="M5:O10"/>
    </sheetView>
  </sheetViews>
  <sheetFormatPr defaultColWidth="9.109375" defaultRowHeight="15.75" customHeight="1" x14ac:dyDescent="0.25"/>
  <cols>
    <col min="1" max="1" width="12.33203125" style="117" customWidth="1"/>
    <col min="2" max="2" width="4" style="117" customWidth="1"/>
    <col min="3" max="3" width="9.33203125" style="117" customWidth="1"/>
    <col min="4" max="4" width="9.5546875" style="117" customWidth="1"/>
    <col min="5" max="5" width="9.6640625" style="117" customWidth="1"/>
    <col min="6" max="6" width="3.109375" style="117" customWidth="1"/>
    <col min="7" max="7" width="13.44140625" style="117" customWidth="1"/>
    <col min="8" max="8" width="8.109375" style="117" customWidth="1"/>
    <col min="9" max="9" width="8.88671875" style="117" customWidth="1"/>
    <col min="10" max="10" width="8.109375" style="117" customWidth="1"/>
    <col min="11" max="14" width="9.109375" style="117"/>
    <col min="15" max="15" width="9.44140625" style="117" customWidth="1"/>
    <col min="16" max="255" width="9.109375" style="117"/>
    <col min="256" max="16384" width="9.109375" style="25"/>
  </cols>
  <sheetData>
    <row r="1" spans="1:15" ht="18.75" customHeight="1" thickBot="1" x14ac:dyDescent="0.35">
      <c r="A1" s="318" t="s">
        <v>373</v>
      </c>
      <c r="B1" s="318"/>
      <c r="C1" s="318"/>
      <c r="D1" s="318"/>
      <c r="E1" s="318"/>
      <c r="F1" s="35"/>
      <c r="G1" s="35"/>
      <c r="H1" s="35"/>
      <c r="I1" s="35"/>
      <c r="J1" s="35"/>
    </row>
    <row r="2" spans="1:15" ht="12" customHeight="1" thickBot="1" x14ac:dyDescent="0.35">
      <c r="A2" s="319" t="s">
        <v>341</v>
      </c>
      <c r="B2" s="319"/>
      <c r="C2" s="320" t="str">
        <f>'Data by district'!C20</f>
        <v>Cambridge</v>
      </c>
      <c r="D2" s="320"/>
      <c r="E2" s="320"/>
      <c r="F2" s="35"/>
      <c r="G2" s="311" t="s">
        <v>19</v>
      </c>
      <c r="H2" s="312"/>
      <c r="I2" s="312"/>
      <c r="J2" s="313"/>
    </row>
    <row r="3" spans="1:15" ht="12" customHeight="1" x14ac:dyDescent="0.25">
      <c r="A3" s="319"/>
      <c r="B3" s="319"/>
      <c r="C3" s="320"/>
      <c r="D3" s="320"/>
      <c r="E3" s="320"/>
      <c r="F3" s="35"/>
      <c r="G3" s="33" t="s">
        <v>164</v>
      </c>
      <c r="H3" s="38" t="s">
        <v>5</v>
      </c>
      <c r="I3" s="38" t="s">
        <v>178</v>
      </c>
      <c r="J3" s="54" t="s">
        <v>367</v>
      </c>
    </row>
    <row r="4" spans="1:15" ht="12" customHeight="1" thickBot="1" x14ac:dyDescent="0.3">
      <c r="A4" s="274" t="s">
        <v>374</v>
      </c>
      <c r="B4" s="274"/>
      <c r="C4" s="274"/>
      <c r="D4" s="275" t="str">
        <f>VLOOKUP(C2,Districts!A1:D6,2,FALSE)</f>
        <v>Cambridge City</v>
      </c>
      <c r="E4" s="275"/>
      <c r="F4" s="35"/>
      <c r="G4" s="33" t="s">
        <v>7</v>
      </c>
      <c r="H4" s="228">
        <f>VLOOKUP(C2,iadatasheet_population!A3:BA11,5,FALSE)</f>
        <v>6703</v>
      </c>
      <c r="I4" s="224">
        <f>VLOOKUP(C2,iadatasheet_population!A3:BA11,6,FALSE)</f>
        <v>5.4114493771545282</v>
      </c>
      <c r="J4" s="225">
        <f>VLOOKUP(D5,iadatasheet_population!A3:BA11,6,FALSE)</f>
        <v>5.9284299995170713</v>
      </c>
    </row>
    <row r="5" spans="1:15" ht="12" customHeight="1" x14ac:dyDescent="0.25">
      <c r="A5" s="222" t="s">
        <v>366</v>
      </c>
      <c r="B5" s="222"/>
      <c r="C5" s="222"/>
      <c r="D5" s="322" t="s">
        <v>295</v>
      </c>
      <c r="E5" s="322"/>
      <c r="F5" s="35"/>
      <c r="G5" s="33" t="s">
        <v>10</v>
      </c>
      <c r="H5" s="228">
        <f>VLOOKUP(C2,iadatasheet_population!A3:O11,9,FALSE)</f>
        <v>5073</v>
      </c>
      <c r="I5" s="224">
        <f>VLOOKUP(C2,iadatasheet_population!A3:BA11,10,FALSE)</f>
        <v>4.0955218096829666</v>
      </c>
      <c r="J5" s="225">
        <f>VLOOKUP(D5,iadatasheet_population!A3:BA11,10,FALSE)</f>
        <v>5.4240916920204114</v>
      </c>
      <c r="M5" s="292" t="s">
        <v>372</v>
      </c>
      <c r="N5" s="293"/>
      <c r="O5" s="294"/>
    </row>
    <row r="6" spans="1:15" ht="12" customHeight="1" thickBot="1" x14ac:dyDescent="0.3">
      <c r="A6" s="35"/>
      <c r="B6" s="35"/>
      <c r="C6" s="35"/>
      <c r="D6" s="35"/>
      <c r="E6" s="35"/>
      <c r="F6" s="35"/>
      <c r="G6" s="33" t="s">
        <v>11</v>
      </c>
      <c r="H6" s="228">
        <f>VLOOKUP(C2,iadatasheet_population!A3:O11,13,FALSE)</f>
        <v>5006</v>
      </c>
      <c r="I6" s="224">
        <f>VLOOKUP(C2,iadatasheet_population!A3:BA11,14,FALSE)</f>
        <v>4.0414315354372032</v>
      </c>
      <c r="J6" s="225">
        <f>VLOOKUP(D5,iadatasheet_population!A3:BA11,14,FALSE)</f>
        <v>5.6035801097857405</v>
      </c>
      <c r="M6" s="295"/>
      <c r="N6" s="296"/>
      <c r="O6" s="297"/>
    </row>
    <row r="7" spans="1:15" ht="12" customHeight="1" thickBot="1" x14ac:dyDescent="0.35">
      <c r="A7" s="311" t="s">
        <v>165</v>
      </c>
      <c r="B7" s="312"/>
      <c r="C7" s="312"/>
      <c r="D7" s="312"/>
      <c r="E7" s="313"/>
      <c r="F7" s="35"/>
      <c r="G7" s="33" t="s">
        <v>147</v>
      </c>
      <c r="H7" s="228">
        <f>VLOOKUP(C2,iadatasheet_population!A3:BA11,17,FALSE)</f>
        <v>10238</v>
      </c>
      <c r="I7" s="224">
        <f>VLOOKUP(C2,iadatasheet_population!A3:BA11,18,FALSE)</f>
        <v>8.2653168317630996</v>
      </c>
      <c r="J7" s="225">
        <f>VLOOKUP(D5,iadatasheet_population!A3:BA11,18,FALSE)</f>
        <v>6.3508314418634599</v>
      </c>
      <c r="M7" s="295"/>
      <c r="N7" s="296"/>
      <c r="O7" s="297"/>
    </row>
    <row r="8" spans="1:15" ht="12" customHeight="1" x14ac:dyDescent="0.25">
      <c r="A8" s="71"/>
      <c r="B8" s="72"/>
      <c r="C8" s="72"/>
      <c r="D8" s="70"/>
      <c r="E8" s="314">
        <v>2011</v>
      </c>
      <c r="F8" s="35"/>
      <c r="G8" s="33" t="s">
        <v>12</v>
      </c>
      <c r="H8" s="228">
        <f>VLOOKUP(C2,iadatasheet_population!A3:BA11,21,FALSE)</f>
        <v>18076</v>
      </c>
      <c r="I8" s="224">
        <f>VLOOKUP(C2,iadatasheet_population!A3:BA11,22,FALSE)</f>
        <v>14.593071600991387</v>
      </c>
      <c r="J8" s="225">
        <f>VLOOKUP(D5,iadatasheet_population!A3:BA11,22,FALSE)</f>
        <v>7.1141803898842584</v>
      </c>
      <c r="M8" s="295"/>
      <c r="N8" s="296"/>
      <c r="O8" s="297"/>
    </row>
    <row r="9" spans="1:15" ht="12" customHeight="1" x14ac:dyDescent="0.25">
      <c r="E9" s="315"/>
      <c r="F9" s="35"/>
      <c r="G9" s="33" t="s">
        <v>13</v>
      </c>
      <c r="H9" s="228">
        <f>VLOOKUP(C2,iadatasheet_population!A3:BA11,25,FALSE)</f>
        <v>40848</v>
      </c>
      <c r="I9" s="224">
        <f>VLOOKUP(C2,iadatasheet_population!A3:BA11,26,FALSE)</f>
        <v>32.977306304342562</v>
      </c>
      <c r="J9" s="225">
        <f>VLOOKUP(D5,iadatasheet_population!A3:BA11,26,FALSE)</f>
        <v>27.79221197340674</v>
      </c>
      <c r="M9" s="295"/>
      <c r="N9" s="296"/>
      <c r="O9" s="297"/>
    </row>
    <row r="10" spans="1:15" ht="12" customHeight="1" thickBot="1" x14ac:dyDescent="0.3">
      <c r="A10" s="290" t="s">
        <v>166</v>
      </c>
      <c r="B10" s="291"/>
      <c r="C10" s="291"/>
      <c r="D10" s="31"/>
      <c r="E10" s="230">
        <f>VLOOKUP(C2,iadatasheet_population!A3:BA11,53,FALSE)</f>
        <v>123867</v>
      </c>
      <c r="F10" s="35"/>
      <c r="G10" s="33" t="s">
        <v>14</v>
      </c>
      <c r="H10" s="228">
        <f>VLOOKUP(C2,iadatasheet_population!A3:BA11,29,FALSE)</f>
        <v>18349</v>
      </c>
      <c r="I10" s="224">
        <f>VLOOKUP(C2,iadatasheet_population!A3:BA11,30,FALSE)</f>
        <v>14.813469285604722</v>
      </c>
      <c r="J10" s="225">
        <f>VLOOKUP(D5,iadatasheet_population!A3:BA11,30,FALSE)</f>
        <v>19.500330001126834</v>
      </c>
      <c r="M10" s="298"/>
      <c r="N10" s="299"/>
      <c r="O10" s="300"/>
    </row>
    <row r="11" spans="1:15" ht="12" customHeight="1" x14ac:dyDescent="0.3">
      <c r="A11" s="69" t="s">
        <v>170</v>
      </c>
      <c r="B11" s="50"/>
      <c r="C11" s="50"/>
      <c r="D11" s="84"/>
      <c r="E11" s="230">
        <f>VLOOKUP(C2,'iadatasheet_dwelling type'!A3:C11,3,FALSE)</f>
        <v>46714</v>
      </c>
      <c r="F11" s="35"/>
      <c r="G11" s="33" t="s">
        <v>15</v>
      </c>
      <c r="H11" s="228">
        <f>VLOOKUP(C2,iadatasheet_population!A3:BA11,33,FALSE)</f>
        <v>4973</v>
      </c>
      <c r="I11" s="224">
        <f>VLOOKUP(C2,iadatasheet_population!A3:BA11,34,FALSE)</f>
        <v>4.0147900570773487</v>
      </c>
      <c r="J11" s="225">
        <f>VLOOKUP(D5,iadatasheet_population!A3:BA11,34,FALSE)</f>
        <v>6.1518649088070063</v>
      </c>
    </row>
    <row r="12" spans="1:15" ht="12" customHeight="1" x14ac:dyDescent="0.3">
      <c r="A12" s="58" t="s">
        <v>256</v>
      </c>
      <c r="B12" s="63"/>
      <c r="C12" s="63"/>
      <c r="D12" s="84"/>
      <c r="E12" s="230">
        <f>VLOOKUP(C2,'iadatasheet_dwelling type'!A3:E11,5,FALSE)</f>
        <v>48288</v>
      </c>
      <c r="F12" s="35"/>
      <c r="G12" s="33" t="s">
        <v>16</v>
      </c>
      <c r="H12" s="228">
        <f>VLOOKUP(C2,iadatasheet_population!A3:BA11,37,FALSE)</f>
        <v>6877</v>
      </c>
      <c r="I12" s="224">
        <f>VLOOKUP(C2,iadatasheet_population!A3:BA11,38,FALSE)</f>
        <v>5.5519226266883024</v>
      </c>
      <c r="J12" s="225">
        <f>VLOOKUP(D5,iadatasheet_population!A3:BA11,38,FALSE)</f>
        <v>8.5542731121520905</v>
      </c>
    </row>
    <row r="13" spans="1:15" ht="12" customHeight="1" x14ac:dyDescent="0.3">
      <c r="A13" s="58" t="s">
        <v>167</v>
      </c>
      <c r="B13" s="63"/>
      <c r="C13" s="63"/>
      <c r="D13" s="84"/>
      <c r="E13" s="230">
        <f>VLOOKUP(C2,Districts!A1:D6,3,FALSE)</f>
        <v>4070</v>
      </c>
      <c r="F13" s="35"/>
      <c r="G13" s="33" t="s">
        <v>17</v>
      </c>
      <c r="H13" s="228">
        <f>VLOOKUP(C2,iadatasheet_population!A3:BA11,41,FALSE)</f>
        <v>5028</v>
      </c>
      <c r="I13" s="224">
        <f>VLOOKUP(C2,iadatasheet_population!A3:BA11,42,FALSE)</f>
        <v>4.0591925210104387</v>
      </c>
      <c r="J13" s="225">
        <f>VLOOKUP(D5,iadatasheet_population!A3:BA11,42,FALSE)</f>
        <v>5.3469841116530645</v>
      </c>
    </row>
    <row r="14" spans="1:15" ht="12" customHeight="1" thickBot="1" x14ac:dyDescent="0.3">
      <c r="A14" s="69" t="s">
        <v>375</v>
      </c>
      <c r="B14" s="217"/>
      <c r="C14" s="217"/>
      <c r="D14" s="217"/>
      <c r="E14" s="231">
        <f>VLOOKUP(C2,Districts!A1:D6,4,FALSE)</f>
        <v>30.434152334152333</v>
      </c>
      <c r="F14" s="35"/>
      <c r="G14" s="33" t="s">
        <v>141</v>
      </c>
      <c r="H14" s="228">
        <f>VLOOKUP(C2,iadatasheet_population!A3:BA11,45,FALSE)</f>
        <v>1682</v>
      </c>
      <c r="I14" s="224">
        <f>VLOOKUP(C2,iadatasheet_population!A3:BA11,46,FALSE)</f>
        <v>1.3579080788264832</v>
      </c>
      <c r="J14" s="225">
        <f>VLOOKUP(D5,iadatasheet_population!A3:BA11,46,FALSE)</f>
        <v>1.4561903382109109</v>
      </c>
    </row>
    <row r="15" spans="1:15" ht="12" customHeight="1" thickBot="1" x14ac:dyDescent="0.3">
      <c r="A15" s="87" t="s">
        <v>168</v>
      </c>
      <c r="B15" s="43"/>
      <c r="C15" s="43"/>
      <c r="D15" s="88"/>
      <c r="E15" s="232">
        <f>VLOOKUP(C2,'iadatasheet_dwelling type'!A3:M11,13,FALSE)</f>
        <v>2.2999999999999998</v>
      </c>
      <c r="F15" s="35"/>
      <c r="G15" s="34" t="s">
        <v>18</v>
      </c>
      <c r="H15" s="229">
        <f>VLOOKUP(C2,iadatasheet_population!A3:BA11,49,FALSE)</f>
        <v>1014</v>
      </c>
      <c r="I15" s="226">
        <f>VLOOKUP(C2,iadatasheet_population!A3:BA11,50,FALSE)</f>
        <v>0.81861997142095955</v>
      </c>
      <c r="J15" s="227">
        <f>VLOOKUP(D5,iadatasheet_population!A3:BA11,50,FALSE)</f>
        <v>0.77703192157241519</v>
      </c>
      <c r="M15" s="301" t="s">
        <v>322</v>
      </c>
      <c r="N15" s="302"/>
      <c r="O15" s="303"/>
    </row>
    <row r="16" spans="1:15" ht="9" customHeight="1" thickBot="1" x14ac:dyDescent="0.3">
      <c r="A16" s="35"/>
      <c r="B16" s="35"/>
      <c r="C16" s="35"/>
      <c r="D16" s="35"/>
      <c r="E16" s="35"/>
      <c r="F16" s="35"/>
      <c r="G16" s="35"/>
      <c r="H16" s="35"/>
      <c r="I16" s="35"/>
      <c r="J16" s="35"/>
      <c r="M16" s="304"/>
      <c r="N16" s="305"/>
      <c r="O16" s="306"/>
    </row>
    <row r="17" spans="1:15" ht="12" customHeight="1" thickBot="1" x14ac:dyDescent="0.35">
      <c r="A17" s="311" t="s">
        <v>169</v>
      </c>
      <c r="B17" s="312"/>
      <c r="C17" s="312"/>
      <c r="D17" s="312"/>
      <c r="E17" s="312"/>
      <c r="F17" s="312"/>
      <c r="G17" s="312"/>
      <c r="H17" s="312"/>
      <c r="I17" s="312"/>
      <c r="J17" s="313"/>
      <c r="M17" s="304"/>
      <c r="N17" s="305"/>
      <c r="O17" s="306"/>
    </row>
    <row r="18" spans="1:15" ht="12" customHeight="1" x14ac:dyDescent="0.25">
      <c r="A18" s="323"/>
      <c r="B18" s="324"/>
      <c r="C18" s="324"/>
      <c r="D18" s="324"/>
      <c r="E18" s="324"/>
      <c r="F18" s="324"/>
      <c r="G18" s="324"/>
      <c r="H18" s="51" t="s">
        <v>5</v>
      </c>
      <c r="I18" s="51" t="s">
        <v>178</v>
      </c>
      <c r="J18" s="54" t="s">
        <v>367</v>
      </c>
      <c r="M18" s="304"/>
      <c r="N18" s="305"/>
      <c r="O18" s="306"/>
    </row>
    <row r="19" spans="1:15" ht="12" customHeight="1" x14ac:dyDescent="0.25">
      <c r="A19" s="26" t="s">
        <v>171</v>
      </c>
      <c r="B19" s="28"/>
      <c r="C19" s="273" t="s">
        <v>21</v>
      </c>
      <c r="D19" s="273"/>
      <c r="E19" s="273"/>
      <c r="F19" s="273"/>
      <c r="G19" s="273"/>
      <c r="H19" s="228">
        <f>VLOOKUP(C2,iadatasheet_ethnicity!A3:CE11,5,FALSE)</f>
        <v>81742</v>
      </c>
      <c r="I19" s="47">
        <f>VLOOKUP(C2,iadatasheet_ethnicity!A3:CE11,6,FALSE)</f>
        <v>65.991749214883711</v>
      </c>
      <c r="J19" s="44">
        <f>VLOOKUP(D5,iadatasheet_ethnicity!A3:CE11,6,FALSE)</f>
        <v>84.450829832101874</v>
      </c>
      <c r="M19" s="304"/>
      <c r="N19" s="305"/>
      <c r="O19" s="306"/>
    </row>
    <row r="20" spans="1:15" ht="12" customHeight="1" x14ac:dyDescent="0.25">
      <c r="A20" s="37"/>
      <c r="B20" s="35"/>
      <c r="C20" s="273" t="s">
        <v>172</v>
      </c>
      <c r="D20" s="273"/>
      <c r="E20" s="273"/>
      <c r="F20" s="273"/>
      <c r="G20" s="273"/>
      <c r="H20" s="228">
        <f>VLOOKUP(C2,iadatasheet_ethnicity!A3:CE11,57,FALSE)</f>
        <v>10458</v>
      </c>
      <c r="I20" s="47">
        <f>VLOOKUP(C2,iadatasheet_ethnicity!A3:CE11,58,FALSE)</f>
        <v>10.994050069832966</v>
      </c>
      <c r="J20" s="44">
        <f>VLOOKUP(D5,iadatasheet_ethnicity!A3:CE11,58,FALSE)</f>
        <v>4.12710677548655</v>
      </c>
      <c r="M20" s="304"/>
      <c r="N20" s="305"/>
      <c r="O20" s="306"/>
    </row>
    <row r="21" spans="1:15" ht="12" customHeight="1" x14ac:dyDescent="0.25">
      <c r="A21" s="37"/>
      <c r="B21" s="35"/>
      <c r="C21" s="273" t="s">
        <v>173</v>
      </c>
      <c r="D21" s="273"/>
      <c r="E21" s="273"/>
      <c r="F21" s="273"/>
      <c r="G21" s="273"/>
      <c r="H21" s="228">
        <f>VLOOKUP(C2,iadatasheet_ethnicity!A3:CE11,71,FALSE)</f>
        <v>2097</v>
      </c>
      <c r="I21" s="47">
        <f>VLOOKUP(C2,iadatasheet_ethnicity!A3:CE11,72,FALSE)</f>
        <v>1.6929448521397952</v>
      </c>
      <c r="J21" s="44">
        <f>VLOOKUP(D5,iadatasheet_ethnicity!A3:CE11,72,FALSE)</f>
        <v>0.96746671817903773</v>
      </c>
      <c r="M21" s="304"/>
      <c r="N21" s="305"/>
      <c r="O21" s="306"/>
    </row>
    <row r="22" spans="1:15" ht="12" customHeight="1" x14ac:dyDescent="0.25">
      <c r="A22" s="37"/>
      <c r="B22" s="35"/>
      <c r="C22" s="273" t="s">
        <v>174</v>
      </c>
      <c r="D22" s="273"/>
      <c r="E22" s="273"/>
      <c r="F22" s="273"/>
      <c r="G22" s="273"/>
      <c r="H22" s="228">
        <f>VLOOKUP(C2,iadatasheet_ethnicity!A3:CE11,35,FALSE)</f>
        <v>3944</v>
      </c>
      <c r="I22" s="47">
        <f>VLOOKUP(C2,iadatasheet_ethnicity!A3:CE11,36,FALSE)</f>
        <v>3.1840603227655464</v>
      </c>
      <c r="J22" s="44">
        <f>VLOOKUP(D5,iadatasheet_ethnicity!A3:CE11,36,FALSE)</f>
        <v>1.7837768226525652</v>
      </c>
      <c r="M22" s="304"/>
      <c r="N22" s="305"/>
      <c r="O22" s="306"/>
    </row>
    <row r="23" spans="1:15" ht="5.25" customHeight="1" x14ac:dyDescent="0.25">
      <c r="A23" s="316"/>
      <c r="B23" s="273"/>
      <c r="C23" s="273"/>
      <c r="D23" s="273"/>
      <c r="E23" s="273"/>
      <c r="F23" s="273"/>
      <c r="G23" s="273"/>
      <c r="H23" s="273"/>
      <c r="I23" s="273"/>
      <c r="J23" s="44"/>
      <c r="M23" s="304"/>
      <c r="N23" s="305"/>
      <c r="O23" s="306"/>
    </row>
    <row r="24" spans="1:15" ht="12" customHeight="1" x14ac:dyDescent="0.25">
      <c r="A24" s="26" t="s">
        <v>74</v>
      </c>
      <c r="B24" s="28"/>
      <c r="C24" s="273" t="s">
        <v>76</v>
      </c>
      <c r="D24" s="273"/>
      <c r="E24" s="273"/>
      <c r="F24" s="273"/>
      <c r="G24" s="273"/>
      <c r="H24" s="228">
        <f>VLOOKUP(C2,iadatasheet_religion!A3:CE11,3,FALSE)</f>
        <v>55514</v>
      </c>
      <c r="I24" s="47">
        <f>VLOOKUP(C2,iadatasheet_religion!A3:CE11,4,FALSE)</f>
        <v>44.817425141482396</v>
      </c>
      <c r="J24" s="44">
        <f>VLOOKUP(D5,iadatasheet_religion!A3:CE11,4,FALSE)</f>
        <v>58.198032871331748</v>
      </c>
      <c r="M24" s="304"/>
      <c r="N24" s="305"/>
      <c r="O24" s="306"/>
    </row>
    <row r="25" spans="1:15" ht="12" customHeight="1" thickBot="1" x14ac:dyDescent="0.3">
      <c r="A25" s="37"/>
      <c r="B25" s="35"/>
      <c r="C25" s="273" t="s">
        <v>308</v>
      </c>
      <c r="D25" s="273"/>
      <c r="E25" s="273"/>
      <c r="F25" s="273"/>
      <c r="G25" s="273"/>
      <c r="H25" s="228">
        <f>VLOOKUP(C2,iadatasheet_religion!A3:CE11,17,FALSE)</f>
        <v>10314</v>
      </c>
      <c r="I25" s="47">
        <f>VLOOKUP(C2,iadatasheet_religion!A3:CE11,18,FALSE)</f>
        <v>8.3266729637433698</v>
      </c>
      <c r="J25" s="44">
        <f>VLOOKUP(D5,iadatasheet_religion!A3:CE11,18,FALSE)</f>
        <v>3.4737045443569805</v>
      </c>
      <c r="M25" s="307"/>
      <c r="N25" s="308"/>
      <c r="O25" s="309"/>
    </row>
    <row r="26" spans="1:15" ht="12" customHeight="1" x14ac:dyDescent="0.25">
      <c r="A26" s="37"/>
      <c r="B26" s="35"/>
      <c r="C26" s="273" t="s">
        <v>82</v>
      </c>
      <c r="D26" s="273"/>
      <c r="E26" s="273"/>
      <c r="F26" s="273"/>
      <c r="G26" s="273"/>
      <c r="H26" s="228">
        <f>VLOOKUP(C2,iadatasheet_religion!A3:CE11,19,FALSE)</f>
        <v>46839</v>
      </c>
      <c r="I26" s="47">
        <f>VLOOKUP(C2,iadatasheet_religion!A3:CE11,20,FALSE)</f>
        <v>37.81394560294509</v>
      </c>
      <c r="J26" s="44">
        <f>VLOOKUP(D5,iadatasheet_religion!A3:CE11,20,FALSE)</f>
        <v>30.427069750969881</v>
      </c>
    </row>
    <row r="27" spans="1:15" ht="12" customHeight="1" x14ac:dyDescent="0.25">
      <c r="A27" s="37"/>
      <c r="B27" s="35"/>
      <c r="C27" s="273" t="s">
        <v>83</v>
      </c>
      <c r="D27" s="273"/>
      <c r="E27" s="273"/>
      <c r="F27" s="273"/>
      <c r="G27" s="273"/>
      <c r="H27" s="228">
        <f>VLOOKUP(C2,iadatasheet_religion!A3:CE11,21,FALSE)</f>
        <v>11200</v>
      </c>
      <c r="I27" s="47">
        <f>VLOOKUP(C2,iadatasheet_religion!A3:CE11,22,FALSE)</f>
        <v>9.0419562918291394</v>
      </c>
      <c r="J27" s="44">
        <f>VLOOKUP(D5,iadatasheet_religion!A3:CE11,22,FALSE)</f>
        <v>7.9011928333413817</v>
      </c>
    </row>
    <row r="28" spans="1:15" ht="5.25" customHeight="1" x14ac:dyDescent="0.25">
      <c r="A28" s="290"/>
      <c r="B28" s="291"/>
      <c r="C28" s="291"/>
      <c r="D28" s="291"/>
      <c r="E28" s="291"/>
      <c r="F28" s="291"/>
      <c r="G28" s="291"/>
      <c r="H28" s="291"/>
      <c r="I28" s="291"/>
      <c r="J28" s="44"/>
    </row>
    <row r="29" spans="1:15" ht="12" customHeight="1" x14ac:dyDescent="0.25">
      <c r="A29" s="26" t="s">
        <v>68</v>
      </c>
      <c r="B29" s="28"/>
      <c r="C29" s="273" t="s">
        <v>246</v>
      </c>
      <c r="D29" s="273"/>
      <c r="E29" s="273"/>
      <c r="F29" s="273"/>
      <c r="G29" s="273"/>
      <c r="H29" s="228">
        <f>VLOOKUP(C2,iadatasheet_qualifications!A3:N11,14,FALSE)</f>
        <v>24506</v>
      </c>
      <c r="I29" s="47">
        <f>VLOOKUP(C2,iadatasheet_qualifications!A3:O11,15,FALSE)</f>
        <v>23.117341307649493</v>
      </c>
      <c r="J29" s="44">
        <f>VLOOKUP(D5,iadatasheet_qualifications!A3:O11,15,FALSE)</f>
        <v>6.7508540343659105</v>
      </c>
    </row>
    <row r="30" spans="1:15" ht="5.25" customHeight="1" x14ac:dyDescent="0.25">
      <c r="A30" s="290"/>
      <c r="B30" s="291"/>
      <c r="C30" s="291"/>
      <c r="D30" s="291"/>
      <c r="E30" s="291"/>
      <c r="F30" s="291"/>
      <c r="G30" s="291"/>
      <c r="H30" s="291"/>
      <c r="I30" s="291"/>
      <c r="J30" s="44"/>
    </row>
    <row r="31" spans="1:15" ht="12" customHeight="1" x14ac:dyDescent="0.25">
      <c r="A31" s="26" t="s">
        <v>159</v>
      </c>
      <c r="B31" s="28"/>
      <c r="C31" s="273" t="s">
        <v>244</v>
      </c>
      <c r="D31" s="273"/>
      <c r="E31" s="273"/>
      <c r="F31" s="273"/>
      <c r="G31" s="273"/>
      <c r="H31" s="228">
        <f>VLOOKUP(C2,iadatasheet_health!A3:CG11,13,FALSE)</f>
        <v>16064</v>
      </c>
      <c r="I31" s="47">
        <f>VLOOKUP(C2,iadatasheet_health!A3:CG11,14,FALSE)</f>
        <v>12.968748738566365</v>
      </c>
      <c r="J31" s="44">
        <f>VLOOKUP(D5,iadatasheet_health!A3:CG11,14,FALSE)</f>
        <v>15.297081502229521</v>
      </c>
    </row>
    <row r="32" spans="1:15" ht="12" customHeight="1" x14ac:dyDescent="0.25">
      <c r="A32" s="26"/>
      <c r="B32" s="28"/>
      <c r="C32" s="273" t="s">
        <v>245</v>
      </c>
      <c r="D32" s="273"/>
      <c r="E32" s="273"/>
      <c r="F32" s="273"/>
      <c r="G32" s="273"/>
      <c r="H32" s="228">
        <f>VLOOKUP(C2,iadatasheet_health!A3:CG11,11,FALSE)</f>
        <v>4503</v>
      </c>
      <c r="I32" s="47">
        <f>VLOOKUP(C2,iadatasheet_health!A3:CG11,12,FALSE)</f>
        <v>3.6353508198309479</v>
      </c>
      <c r="J32" s="44">
        <f>VLOOKUP(D5,iadatasheet_health!A3:CG11,12,FALSE)</f>
        <v>4.0514479805540802</v>
      </c>
    </row>
    <row r="33" spans="1:10" ht="4.5" customHeight="1" x14ac:dyDescent="0.25">
      <c r="A33" s="316"/>
      <c r="B33" s="273"/>
      <c r="C33" s="273"/>
      <c r="D33" s="273"/>
      <c r="E33" s="273"/>
      <c r="F33" s="273"/>
      <c r="G33" s="273"/>
      <c r="H33" s="273"/>
      <c r="I33" s="273"/>
      <c r="J33" s="44"/>
    </row>
    <row r="34" spans="1:10" ht="12" customHeight="1" x14ac:dyDescent="0.25">
      <c r="A34" s="26" t="s">
        <v>175</v>
      </c>
      <c r="B34" s="28"/>
      <c r="C34" s="273" t="s">
        <v>176</v>
      </c>
      <c r="D34" s="273"/>
      <c r="E34" s="273"/>
      <c r="F34" s="273"/>
      <c r="G34" s="273"/>
      <c r="H34" s="228">
        <f>VLOOKUP(C2,iadatasheet_health!A3:V11,21,FALSE)</f>
        <v>9777</v>
      </c>
      <c r="I34" s="47">
        <f>VLOOKUP(C2,iadatasheet_health!A3:CG11,22,FALSE)</f>
        <v>7.8931434522512038</v>
      </c>
      <c r="J34" s="44">
        <f>VLOOKUP(D5,iadatasheet_health!A3:CG11,22,FALSE)</f>
        <v>9.6869013699071171</v>
      </c>
    </row>
    <row r="35" spans="1:10" ht="4.5" customHeight="1" x14ac:dyDescent="0.25">
      <c r="A35" s="26"/>
      <c r="B35" s="28"/>
      <c r="C35" s="291"/>
      <c r="D35" s="291"/>
      <c r="E35" s="291"/>
      <c r="F35" s="291"/>
      <c r="G35" s="291"/>
      <c r="H35" s="31"/>
      <c r="I35" s="47"/>
      <c r="J35" s="44"/>
    </row>
    <row r="36" spans="1:10" ht="12" customHeight="1" x14ac:dyDescent="0.25">
      <c r="A36" s="26" t="s">
        <v>163</v>
      </c>
      <c r="B36" s="28"/>
      <c r="C36" s="273" t="s">
        <v>198</v>
      </c>
      <c r="D36" s="273"/>
      <c r="E36" s="273"/>
      <c r="F36" s="273"/>
      <c r="G36" s="273"/>
      <c r="H36" s="228">
        <f>VLOOKUP(C2,'iadatasheet_country of birth'!A3:Y11,14,FALSE)</f>
        <v>87486</v>
      </c>
      <c r="I36" s="47">
        <f>VLOOKUP(C2,'iadatasheet_country of birth'!A3:Y11,15,FALSE)</f>
        <v>70.628981084550375</v>
      </c>
      <c r="J36" s="44">
        <f>VLOOKUP(D5,'iadatasheet_country of birth'!A3:Y11,15,FALSE)</f>
        <v>86.204665089100303</v>
      </c>
    </row>
    <row r="37" spans="1:10" ht="12" customHeight="1" x14ac:dyDescent="0.25">
      <c r="A37" s="26"/>
      <c r="B37" s="28"/>
      <c r="C37" s="273" t="s">
        <v>199</v>
      </c>
      <c r="D37" s="273"/>
      <c r="E37" s="273"/>
      <c r="F37" s="273"/>
      <c r="G37" s="273"/>
      <c r="H37" s="228">
        <f>VLOOKUP(C2,'iadatasheet_country of birth'!A3:Y11,22,FALSE)</f>
        <v>14298</v>
      </c>
      <c r="I37" s="47">
        <f>VLOOKUP(C2,'iadatasheet_country of birth'!A3:Y11,23,FALSE)</f>
        <v>11.543025987551164</v>
      </c>
      <c r="J37" s="44">
        <f>VLOOKUP(D5,'iadatasheet_country of birth'!A3:Y11,23,FALSE)</f>
        <v>5.9694789201719223</v>
      </c>
    </row>
    <row r="38" spans="1:10" ht="12" customHeight="1" thickBot="1" x14ac:dyDescent="0.3">
      <c r="A38" s="27"/>
      <c r="B38" s="29"/>
      <c r="C38" s="317" t="s">
        <v>200</v>
      </c>
      <c r="D38" s="317"/>
      <c r="E38" s="317"/>
      <c r="F38" s="317"/>
      <c r="G38" s="317"/>
      <c r="H38" s="229">
        <f>VLOOKUP(C2,'iadatasheet_country of birth'!A3:Y11,24,FALSE)</f>
        <v>22083</v>
      </c>
      <c r="I38" s="52">
        <f>VLOOKUP(C2,'iadatasheet_country of birth'!A3:Y11,25,FALSE)</f>
        <v>17.827992927898471</v>
      </c>
      <c r="J38" s="45">
        <f>VLOOKUP(D5,'iadatasheet_country of birth'!A3:Y11,25,FALSE)</f>
        <v>7.8258559907277734</v>
      </c>
    </row>
    <row r="39" spans="1:10" ht="9" customHeight="1" thickBot="1" x14ac:dyDescent="0.3">
      <c r="A39" s="35"/>
      <c r="B39" s="35"/>
      <c r="C39" s="35"/>
      <c r="D39" s="35"/>
      <c r="E39" s="35"/>
      <c r="F39" s="35"/>
      <c r="G39" s="35"/>
      <c r="H39" s="35"/>
      <c r="I39" s="35"/>
      <c r="J39" s="35"/>
    </row>
    <row r="40" spans="1:10" ht="12" customHeight="1" thickBot="1" x14ac:dyDescent="0.35">
      <c r="A40" s="311" t="s">
        <v>160</v>
      </c>
      <c r="B40" s="312"/>
      <c r="C40" s="312"/>
      <c r="D40" s="312"/>
      <c r="E40" s="312"/>
      <c r="F40" s="312"/>
      <c r="G40" s="312"/>
      <c r="H40" s="312"/>
      <c r="I40" s="312"/>
      <c r="J40" s="313"/>
    </row>
    <row r="41" spans="1:10" ht="12" customHeight="1" x14ac:dyDescent="0.25">
      <c r="A41" s="133"/>
      <c r="B41" s="134"/>
      <c r="C41" s="135"/>
      <c r="D41" s="135"/>
      <c r="E41" s="135"/>
      <c r="F41" s="135"/>
      <c r="G41" s="135"/>
      <c r="H41" s="136" t="s">
        <v>5</v>
      </c>
      <c r="I41" s="136" t="s">
        <v>178</v>
      </c>
      <c r="J41" s="137" t="s">
        <v>367</v>
      </c>
    </row>
    <row r="42" spans="1:10" ht="12" customHeight="1" x14ac:dyDescent="0.25">
      <c r="A42" s="26" t="s">
        <v>43</v>
      </c>
      <c r="B42" s="39"/>
      <c r="C42" s="35"/>
      <c r="D42" s="28"/>
      <c r="E42" s="28"/>
      <c r="F42" s="28"/>
      <c r="G42" s="28"/>
      <c r="H42" s="233">
        <f>H43+H44</f>
        <v>15848</v>
      </c>
      <c r="I42" s="56">
        <f>I43+I44</f>
        <v>33.925589758958772</v>
      </c>
      <c r="J42" s="48">
        <f>J43+J44</f>
        <v>27.376105014706994</v>
      </c>
    </row>
    <row r="43" spans="1:10" ht="12" customHeight="1" x14ac:dyDescent="0.25">
      <c r="A43" s="37"/>
      <c r="B43" s="273" t="s">
        <v>177</v>
      </c>
      <c r="C43" s="273"/>
      <c r="D43" s="35"/>
      <c r="E43" s="28"/>
      <c r="F43" s="28"/>
      <c r="G43" s="28"/>
      <c r="H43" s="228">
        <f>VLOOKUP(C2,'iadatasheet_household type'!A3:AE11,3,FALSE)</f>
        <v>5194</v>
      </c>
      <c r="I43" s="47">
        <f>VLOOKUP(C2,'iadatasheet_household type'!A3:AE11,18,FALSE)</f>
        <v>11.11872243866935</v>
      </c>
      <c r="J43" s="44">
        <f>VLOOKUP(D5,'iadatasheet_household type'!A3:AE11,18,FALSE)</f>
        <v>11.705095903932877</v>
      </c>
    </row>
    <row r="44" spans="1:10" ht="12" customHeight="1" x14ac:dyDescent="0.25">
      <c r="A44" s="37"/>
      <c r="B44" s="273" t="s">
        <v>48</v>
      </c>
      <c r="C44" s="273"/>
      <c r="D44" s="35"/>
      <c r="E44" s="28"/>
      <c r="F44" s="28"/>
      <c r="G44" s="28"/>
      <c r="H44" s="228">
        <f>VLOOKUP(C2,'iadatasheet_household type'!A3:AE11,4,FALSE)</f>
        <v>10654</v>
      </c>
      <c r="I44" s="47">
        <f>VLOOKUP(C2,'iadatasheet_household type'!A3:AE11,19,FALSE)</f>
        <v>22.80686732028942</v>
      </c>
      <c r="J44" s="44">
        <f>VLOOKUP(D5,'iadatasheet_household type'!A3:AE11,19,FALSE)</f>
        <v>15.671009110774117</v>
      </c>
    </row>
    <row r="45" spans="1:10" ht="4.5" customHeight="1" x14ac:dyDescent="0.25">
      <c r="A45" s="37"/>
      <c r="B45" s="35"/>
      <c r="C45" s="35"/>
      <c r="D45" s="35"/>
      <c r="E45" s="28"/>
      <c r="F45" s="28"/>
      <c r="G45" s="28"/>
      <c r="H45" s="39"/>
      <c r="I45" s="57"/>
      <c r="J45" s="44"/>
    </row>
    <row r="46" spans="1:10" ht="12" customHeight="1" x14ac:dyDescent="0.25">
      <c r="A46" s="26" t="s">
        <v>44</v>
      </c>
      <c r="B46" s="35"/>
      <c r="C46" s="35"/>
      <c r="D46" s="28"/>
      <c r="E46" s="35"/>
      <c r="F46" s="35"/>
      <c r="G46" s="35"/>
      <c r="H46" s="233">
        <f>SUM(H47:H52)</f>
        <v>24025</v>
      </c>
      <c r="I46" s="56">
        <f>SUM(I47:I52)</f>
        <v>51.429978165004073</v>
      </c>
      <c r="J46" s="48">
        <f>SUM(J47:J52)</f>
        <v>65.22064471961184</v>
      </c>
    </row>
    <row r="47" spans="1:10" ht="12" customHeight="1" x14ac:dyDescent="0.25">
      <c r="A47" s="37"/>
      <c r="B47" s="273" t="s">
        <v>179</v>
      </c>
      <c r="C47" s="273"/>
      <c r="D47" s="273"/>
      <c r="E47" s="273"/>
      <c r="F47" s="273"/>
      <c r="G47" s="36"/>
      <c r="H47" s="228">
        <f>VLOOKUP(C2,'iadatasheet_household type'!A3:AE11,5,FALSE)</f>
        <v>8191</v>
      </c>
      <c r="I47" s="47">
        <f>VLOOKUP(C2,'iadatasheet_household type'!A3:AE11,20,FALSE)</f>
        <v>17.534358008305862</v>
      </c>
      <c r="J47" s="44">
        <f>VLOOKUP(D5,'iadatasheet_household type'!A3:AE11,20,FALSE)</f>
        <v>21.103641523477457</v>
      </c>
    </row>
    <row r="48" spans="1:10" ht="12" customHeight="1" x14ac:dyDescent="0.25">
      <c r="A48" s="37"/>
      <c r="B48" s="273" t="s">
        <v>180</v>
      </c>
      <c r="C48" s="273"/>
      <c r="D48" s="273"/>
      <c r="E48" s="273"/>
      <c r="F48" s="273"/>
      <c r="G48" s="36"/>
      <c r="H48" s="228">
        <f>VLOOKUP(C2,'iadatasheet_household type'!A3:AE11,6,FALSE)</f>
        <v>8116</v>
      </c>
      <c r="I48" s="47">
        <f>VLOOKUP(C2,'iadatasheet_household type'!A3:AE11,21,FALSE)</f>
        <v>17.373806567624268</v>
      </c>
      <c r="J48" s="44">
        <f>VLOOKUP(D5,'iadatasheet_household type'!A3:AE11,21,FALSE)</f>
        <v>21.777098483129745</v>
      </c>
    </row>
    <row r="49" spans="1:10" ht="12" customHeight="1" x14ac:dyDescent="0.25">
      <c r="A49" s="37"/>
      <c r="B49" s="310" t="s">
        <v>181</v>
      </c>
      <c r="C49" s="310"/>
      <c r="D49" s="310"/>
      <c r="E49" s="310"/>
      <c r="F49" s="310"/>
      <c r="G49" s="310"/>
      <c r="H49" s="228">
        <f>VLOOKUP(C2,'iadatasheet_household type'!A3:AE11,7,FALSE)</f>
        <v>1835</v>
      </c>
      <c r="I49" s="47">
        <f>VLOOKUP(C2,'iadatasheet_household type'!A3:AE11,22,FALSE)</f>
        <v>3.9281585820096763</v>
      </c>
      <c r="J49" s="44">
        <f>VLOOKUP(D5,'iadatasheet_household type'!A3:AE11,22,FALSE)</f>
        <v>5.8302585963278286</v>
      </c>
    </row>
    <row r="50" spans="1:10" ht="12" customHeight="1" x14ac:dyDescent="0.25">
      <c r="A50" s="37"/>
      <c r="B50" s="310" t="s">
        <v>182</v>
      </c>
      <c r="C50" s="310"/>
      <c r="D50" s="310"/>
      <c r="E50" s="310"/>
      <c r="F50" s="310"/>
      <c r="G50" s="46"/>
      <c r="H50" s="228">
        <f>VLOOKUP(C2,'iadatasheet_household type'!A3:AE11,8,FALSE)</f>
        <v>1977</v>
      </c>
      <c r="I50" s="47">
        <f>VLOOKUP(C2,'iadatasheet_household type'!A3:AE11,23,FALSE)</f>
        <v>4.2321359763668278</v>
      </c>
      <c r="J50" s="44">
        <f>VLOOKUP(D5,'iadatasheet_household type'!A3:AE11,23,FALSE)</f>
        <v>4.8789807396085827</v>
      </c>
    </row>
    <row r="51" spans="1:10" ht="12" customHeight="1" x14ac:dyDescent="0.25">
      <c r="A51" s="37"/>
      <c r="B51" s="273" t="s">
        <v>183</v>
      </c>
      <c r="C51" s="273"/>
      <c r="D51" s="273"/>
      <c r="E51" s="273"/>
      <c r="F51" s="273"/>
      <c r="G51" s="40"/>
      <c r="H51" s="228">
        <f>VLOOKUP(C2,'iadatasheet_household type'!A3:AE11,9,FALSE)</f>
        <v>1235</v>
      </c>
      <c r="I51" s="47">
        <f>VLOOKUP(C2,'iadatasheet_household type'!A3:AE11,24,FALSE)</f>
        <v>2.6437470565569208</v>
      </c>
      <c r="J51" s="44">
        <f>VLOOKUP(D5,'iadatasheet_household type'!A3:AE11,24,FALSE)</f>
        <v>2.6568115872807385</v>
      </c>
    </row>
    <row r="52" spans="1:10" ht="12" customHeight="1" x14ac:dyDescent="0.25">
      <c r="A52" s="37"/>
      <c r="B52" s="273" t="s">
        <v>319</v>
      </c>
      <c r="C52" s="273"/>
      <c r="D52" s="273"/>
      <c r="E52" s="36"/>
      <c r="F52" s="36"/>
      <c r="G52" s="36"/>
      <c r="H52" s="228">
        <f>VLOOKUP(C2,'iadatasheet_household type'!A3:AE11,10,FALSE)</f>
        <v>2671</v>
      </c>
      <c r="I52" s="47">
        <f>VLOOKUP(C2,'iadatasheet_household type'!A3:AE11,25,FALSE)</f>
        <v>5.7177719741405149</v>
      </c>
      <c r="J52" s="44">
        <f>VLOOKUP(D5,'iadatasheet_household type'!A3:AE11,25,FALSE)</f>
        <v>8.9738537897874942</v>
      </c>
    </row>
    <row r="53" spans="1:10" ht="4.5" customHeight="1" x14ac:dyDescent="0.25">
      <c r="A53" s="37"/>
      <c r="B53" s="35"/>
      <c r="C53" s="35"/>
      <c r="D53" s="35"/>
      <c r="E53" s="35"/>
      <c r="F53" s="35"/>
      <c r="G53" s="35"/>
      <c r="H53" s="40"/>
      <c r="I53" s="57"/>
      <c r="J53" s="44"/>
    </row>
    <row r="54" spans="1:10" ht="12" customHeight="1" x14ac:dyDescent="0.25">
      <c r="A54" s="26" t="s">
        <v>45</v>
      </c>
      <c r="B54" s="35"/>
      <c r="C54" s="35"/>
      <c r="D54" s="28"/>
      <c r="E54" s="35"/>
      <c r="F54" s="35"/>
      <c r="G54" s="35"/>
      <c r="H54" s="233">
        <f>SUM(H55:H58)</f>
        <v>6841</v>
      </c>
      <c r="I54" s="56">
        <f>SUM(I55:I58)</f>
        <v>14.644432076037164</v>
      </c>
      <c r="J54" s="48">
        <f>SUM(J55:J58)</f>
        <v>7.4032502656811587</v>
      </c>
    </row>
    <row r="55" spans="1:10" ht="12" customHeight="1" x14ac:dyDescent="0.25">
      <c r="A55" s="37"/>
      <c r="B55" s="321" t="s">
        <v>46</v>
      </c>
      <c r="C55" s="321"/>
      <c r="D55" s="321"/>
      <c r="E55" s="35"/>
      <c r="F55" s="35"/>
      <c r="G55" s="35"/>
      <c r="H55" s="228">
        <f>VLOOKUP(C2,'iadatasheet_household type'!A3:AE11,11,FALSE)</f>
        <v>1149</v>
      </c>
      <c r="I55" s="47">
        <f>VLOOKUP(C2,'iadatasheet_household type'!A3:AE11,26,FALSE)</f>
        <v>2.4596480712420257</v>
      </c>
      <c r="J55" s="44">
        <f>VLOOKUP(D5,'iadatasheet_household type'!A3:AE11,26,FALSE)</f>
        <v>2.1314196329420754</v>
      </c>
    </row>
    <row r="56" spans="1:10" ht="12" customHeight="1" x14ac:dyDescent="0.25">
      <c r="A56" s="37"/>
      <c r="B56" s="273" t="s">
        <v>47</v>
      </c>
      <c r="C56" s="273"/>
      <c r="D56" s="273"/>
      <c r="E56" s="35"/>
      <c r="F56" s="35"/>
      <c r="G56" s="35"/>
      <c r="H56" s="228">
        <f>VLOOKUP(C2,'iadatasheet_household type'!A3:AE11,12,FALSE)</f>
        <v>1097</v>
      </c>
      <c r="I56" s="47">
        <f>VLOOKUP(C2,'iadatasheet_household type'!A3:AE11,27,FALSE)</f>
        <v>2.348332405702787</v>
      </c>
      <c r="J56" s="44">
        <f>VLOOKUP(D5,'iadatasheet_household type'!A3:AE11,27,FALSE)</f>
        <v>0.45653376638367149</v>
      </c>
    </row>
    <row r="57" spans="1:10" ht="12" customHeight="1" x14ac:dyDescent="0.25">
      <c r="A57" s="37"/>
      <c r="B57" s="273" t="s">
        <v>319</v>
      </c>
      <c r="C57" s="273"/>
      <c r="D57" s="273"/>
      <c r="E57" s="35"/>
      <c r="F57" s="35"/>
      <c r="G57" s="35"/>
      <c r="H57" s="228">
        <f>VLOOKUP(C2,'iadatasheet_household type'!A3:AE11,13,FALSE)</f>
        <v>107</v>
      </c>
      <c r="I57" s="47">
        <f>VLOOKUP(C2,'iadatasheet_household type'!A3:AE11,28,FALSE)</f>
        <v>0.22905338870574132</v>
      </c>
      <c r="J57" s="44">
        <f>VLOOKUP(D5,'iadatasheet_household type'!A3:AE11,28,FALSE)</f>
        <v>0.26309400137716377</v>
      </c>
    </row>
    <row r="58" spans="1:10" ht="12" customHeight="1" x14ac:dyDescent="0.25">
      <c r="A58" s="37"/>
      <c r="B58" s="273" t="s">
        <v>48</v>
      </c>
      <c r="C58" s="273"/>
      <c r="D58" s="35"/>
      <c r="E58" s="35"/>
      <c r="F58" s="35"/>
      <c r="G58" s="35"/>
      <c r="H58" s="228">
        <f>VLOOKUP(C2,'iadatasheet_household type'!A3:AE11,14,FALSE)</f>
        <v>4488</v>
      </c>
      <c r="I58" s="47">
        <f>VLOOKUP(C2,'iadatasheet_household type'!A3:AE11,29,FALSE)</f>
        <v>9.6073982103866093</v>
      </c>
      <c r="J58" s="44">
        <f>VLOOKUP(D5,'iadatasheet_household type'!A3:AE11,29,FALSE)</f>
        <v>4.5522028649782476</v>
      </c>
    </row>
    <row r="59" spans="1:10" ht="4.5" customHeight="1" x14ac:dyDescent="0.25">
      <c r="A59" s="37"/>
      <c r="B59" s="35"/>
      <c r="C59" s="35"/>
      <c r="D59" s="35"/>
      <c r="E59" s="35"/>
      <c r="F59" s="35"/>
      <c r="G59" s="35"/>
      <c r="H59" s="40"/>
      <c r="I59" s="57"/>
      <c r="J59" s="44"/>
    </row>
    <row r="60" spans="1:10" ht="12" customHeight="1" x14ac:dyDescent="0.25">
      <c r="A60" s="26" t="s">
        <v>49</v>
      </c>
      <c r="B60" s="35"/>
      <c r="C60" s="35"/>
      <c r="D60" s="28"/>
      <c r="E60" s="35"/>
      <c r="F60" s="35"/>
      <c r="G60" s="35"/>
      <c r="H60" s="233">
        <f>H42+H46+H54</f>
        <v>46714</v>
      </c>
      <c r="I60" s="235">
        <v>100</v>
      </c>
      <c r="J60" s="236">
        <v>100</v>
      </c>
    </row>
    <row r="61" spans="1:10" ht="5.25" customHeight="1" x14ac:dyDescent="0.25">
      <c r="A61" s="37"/>
      <c r="B61" s="35"/>
      <c r="C61" s="35"/>
      <c r="D61" s="35"/>
      <c r="E61" s="35"/>
      <c r="F61" s="35"/>
      <c r="G61" s="35"/>
      <c r="H61" s="234"/>
      <c r="I61" s="57"/>
      <c r="J61" s="44"/>
    </row>
    <row r="62" spans="1:10" ht="12" customHeight="1" x14ac:dyDescent="0.25">
      <c r="A62" s="279" t="s">
        <v>62</v>
      </c>
      <c r="B62" s="280"/>
      <c r="C62" s="273" t="s">
        <v>201</v>
      </c>
      <c r="D62" s="273"/>
      <c r="E62" s="273"/>
      <c r="F62" s="273"/>
      <c r="G62" s="273"/>
      <c r="H62" s="228">
        <f>VLOOKUP(C2,'iadatasheet_household type'!A3:AE11,16,FALSE)</f>
        <v>13076</v>
      </c>
      <c r="I62" s="47">
        <f>VLOOKUP(C2,'iadatasheet_household type'!A3:AE11,30,FALSE)</f>
        <v>27.991608511367044</v>
      </c>
      <c r="J62" s="44">
        <f>VLOOKUP(D5,'iadatasheet_household type'!A3:AE11,30,FALSE)</f>
        <v>28.787100831472571</v>
      </c>
    </row>
    <row r="63" spans="1:10" ht="12" customHeight="1" thickBot="1" x14ac:dyDescent="0.3">
      <c r="A63" s="281"/>
      <c r="B63" s="282"/>
      <c r="C63" s="289" t="s">
        <v>202</v>
      </c>
      <c r="D63" s="289"/>
      <c r="E63" s="289"/>
      <c r="F63" s="289"/>
      <c r="G63" s="289"/>
      <c r="H63" s="229">
        <f>VLOOKUP(C2,'iadatasheet_household type'!A3:AE11,17,FALSE)</f>
        <v>1255</v>
      </c>
      <c r="I63" s="52">
        <f>VLOOKUP(C2,'iadatasheet_household type'!A3:AE11,31,FALSE)</f>
        <v>2.6865607740720128</v>
      </c>
      <c r="J63" s="45">
        <f>VLOOKUP(D5,'iadatasheet_household type'!A3:AE11,31,FALSE)</f>
        <v>2.4534212170784229</v>
      </c>
    </row>
    <row r="64" spans="1:10" ht="9" customHeight="1" thickBot="1" x14ac:dyDescent="0.3">
      <c r="A64" s="35"/>
      <c r="B64" s="35"/>
      <c r="C64" s="46"/>
      <c r="D64" s="46"/>
      <c r="E64" s="46"/>
      <c r="F64" s="46"/>
      <c r="G64" s="46"/>
      <c r="H64" s="46"/>
      <c r="I64" s="49"/>
      <c r="J64" s="35"/>
    </row>
    <row r="65" spans="1:10" ht="12" customHeight="1" thickBot="1" x14ac:dyDescent="0.3">
      <c r="A65" s="276" t="s">
        <v>316</v>
      </c>
      <c r="B65" s="277"/>
      <c r="C65" s="277"/>
      <c r="D65" s="277"/>
      <c r="E65" s="277"/>
      <c r="F65" s="277"/>
      <c r="G65" s="277"/>
      <c r="H65" s="277"/>
      <c r="I65" s="277"/>
      <c r="J65" s="278"/>
    </row>
    <row r="66" spans="1:10" ht="12" customHeight="1" x14ac:dyDescent="0.25">
      <c r="A66" s="133"/>
      <c r="B66" s="134"/>
      <c r="C66" s="134"/>
      <c r="D66" s="134"/>
      <c r="E66" s="134"/>
      <c r="F66" s="134"/>
      <c r="G66" s="134"/>
      <c r="H66" s="136" t="s">
        <v>5</v>
      </c>
      <c r="I66" s="136" t="s">
        <v>178</v>
      </c>
      <c r="J66" s="137" t="s">
        <v>367</v>
      </c>
    </row>
    <row r="67" spans="1:10" ht="12" customHeight="1" x14ac:dyDescent="0.25">
      <c r="A67" s="279" t="s">
        <v>317</v>
      </c>
      <c r="B67" s="35"/>
      <c r="C67" s="35" t="s">
        <v>50</v>
      </c>
      <c r="D67" s="35"/>
      <c r="E67" s="35"/>
      <c r="F67" s="35"/>
      <c r="G67" s="35"/>
      <c r="H67" s="228">
        <f>VLOOKUP(C2,'iadatasheet_dwelling type'!A3:AJ11,6,FALSE)</f>
        <v>4890</v>
      </c>
      <c r="I67" s="47">
        <f>VLOOKUP(C2,'iadatasheet_dwelling type'!A3:AJ11,22,FALSE)</f>
        <v>10.467953932439954</v>
      </c>
      <c r="J67" s="44">
        <f>VLOOKUP(D5,'iadatasheet_dwelling type'!A3:AJ11,22,FALSE)</f>
        <v>36.27075198713586</v>
      </c>
    </row>
    <row r="68" spans="1:10" ht="12" customHeight="1" x14ac:dyDescent="0.25">
      <c r="A68" s="279"/>
      <c r="B68" s="35"/>
      <c r="C68" s="35" t="s">
        <v>51</v>
      </c>
      <c r="D68" s="35"/>
      <c r="E68" s="35"/>
      <c r="F68" s="35"/>
      <c r="G68" s="35"/>
      <c r="H68" s="228">
        <f>VLOOKUP(C2,'iadatasheet_dwelling type'!A3:AJ11,7,FALSE)</f>
        <v>12681</v>
      </c>
      <c r="I68" s="47">
        <f>VLOOKUP(C2,'iadatasheet_dwelling type'!A3:AJ11,23,FALSE)</f>
        <v>27.146037590443978</v>
      </c>
      <c r="J68" s="44">
        <f>VLOOKUP(D5,'iadatasheet_dwelling type'!A3:AJ11,23,FALSE)</f>
        <v>30.560696701573391</v>
      </c>
    </row>
    <row r="69" spans="1:10" ht="12" customHeight="1" x14ac:dyDescent="0.25">
      <c r="A69" s="37"/>
      <c r="B69" s="35"/>
      <c r="C69" s="35" t="s">
        <v>52</v>
      </c>
      <c r="D69" s="35"/>
      <c r="E69" s="35"/>
      <c r="F69" s="35"/>
      <c r="G69" s="35"/>
      <c r="H69" s="228">
        <f>VLOOKUP(C2,'iadatasheet_dwelling type'!A3:AJ11,8,FALSE)</f>
        <v>14041</v>
      </c>
      <c r="I69" s="47">
        <f>VLOOKUP(C2,'iadatasheet_dwelling type'!A3:AJ11,24,FALSE)</f>
        <v>30.057370381470221</v>
      </c>
      <c r="J69" s="44">
        <f>VLOOKUP(D5,'iadatasheet_dwelling type'!A3:AJ11,24,FALSE)</f>
        <v>19.967680434324013</v>
      </c>
    </row>
    <row r="70" spans="1:10" ht="12" customHeight="1" x14ac:dyDescent="0.25">
      <c r="A70" s="37"/>
      <c r="B70" s="35"/>
      <c r="C70" s="35" t="s">
        <v>185</v>
      </c>
      <c r="D70" s="35"/>
      <c r="E70" s="35"/>
      <c r="F70" s="35"/>
      <c r="G70" s="35"/>
      <c r="H70" s="228">
        <f>VLOOKUP(C2,'iadatasheet_dwelling type'!A3:AJ11,8,FALSE)</f>
        <v>14041</v>
      </c>
      <c r="I70" s="47">
        <f>VLOOKUP(C2,'iadatasheet_dwelling type'!A3:AJ11,25,FALSE)</f>
        <v>31.061352057199127</v>
      </c>
      <c r="J70" s="44">
        <f>VLOOKUP(D5,'iadatasheet_dwelling type'!A3:AJ11,25,FALSE)</f>
        <v>12.249991044455323</v>
      </c>
    </row>
    <row r="71" spans="1:10" ht="12" customHeight="1" x14ac:dyDescent="0.25">
      <c r="A71" s="37"/>
      <c r="B71" s="35"/>
      <c r="C71" s="35" t="s">
        <v>53</v>
      </c>
      <c r="D71" s="35"/>
      <c r="E71" s="35"/>
      <c r="F71" s="35"/>
      <c r="G71" s="35"/>
      <c r="H71" s="228">
        <f>VLOOKUP(C2,'iadatasheet_dwelling type'!A3:AJ11,9,FALSE)</f>
        <v>14510</v>
      </c>
      <c r="I71" s="47">
        <f>VLOOKUP(C2,'iadatasheet_dwelling type'!A3:AJ11,26,FALSE)</f>
        <v>0.17125487006036733</v>
      </c>
      <c r="J71" s="44">
        <f>VLOOKUP(D5,'iadatasheet_dwelling type'!A3:AJ11,26,FALSE)</f>
        <v>0.70609494469453626</v>
      </c>
    </row>
    <row r="72" spans="1:10" ht="4.5" customHeight="1" x14ac:dyDescent="0.25">
      <c r="A72" s="37"/>
      <c r="B72" s="35"/>
      <c r="C72" s="35"/>
      <c r="D72" s="35"/>
      <c r="E72" s="35"/>
      <c r="F72" s="35"/>
      <c r="G72" s="35"/>
      <c r="H72" s="35"/>
      <c r="I72" s="47"/>
      <c r="J72" s="44"/>
    </row>
    <row r="73" spans="1:10" ht="12" customHeight="1" x14ac:dyDescent="0.25">
      <c r="A73" s="279" t="s">
        <v>186</v>
      </c>
      <c r="B73" s="35"/>
      <c r="C73" s="35" t="s">
        <v>54</v>
      </c>
      <c r="D73" s="35"/>
      <c r="E73" s="35"/>
      <c r="F73" s="35"/>
      <c r="G73" s="35"/>
      <c r="H73" s="228">
        <f>VLOOKUP(C2,'iadatasheet_dwelling type'!A3:AJ11,11,FALSE)</f>
        <v>1196</v>
      </c>
      <c r="I73" s="47">
        <f>VLOOKUP(C2,'iadatasheet_dwelling type'!A3:AJ11,27,FALSE)</f>
        <v>2.5602603074024914</v>
      </c>
      <c r="J73" s="44">
        <f>VLOOKUP(D5,'iadatasheet_dwelling type'!A3:AJ11,27,FALSE)</f>
        <v>1.9168845849204548</v>
      </c>
    </row>
    <row r="74" spans="1:10" ht="12" customHeight="1" x14ac:dyDescent="0.25">
      <c r="A74" s="279"/>
      <c r="B74" s="35"/>
      <c r="C74" s="40" t="s">
        <v>190</v>
      </c>
      <c r="D74" s="40"/>
      <c r="E74" s="40"/>
      <c r="F74" s="40"/>
      <c r="G74" s="40"/>
      <c r="H74" s="228">
        <f>VLOOKUP(C2,'iadatasheet_dwelling type'!A3:AJ11,12,FALSE)</f>
        <v>2697</v>
      </c>
      <c r="I74" s="47">
        <f>VLOOKUP(C2,'iadatasheet_dwelling type'!A3:AJ11,28,FALSE)</f>
        <v>5.5852385685884691</v>
      </c>
      <c r="J74" s="44">
        <f>VLOOKUP(D5,'iadatasheet_dwelling type'!A3:AJ11,28,FALSE)</f>
        <v>3.0307238326679395</v>
      </c>
    </row>
    <row r="75" spans="1:10" ht="12" customHeight="1" x14ac:dyDescent="0.25">
      <c r="A75" s="37"/>
      <c r="B75" s="35"/>
      <c r="C75" s="35" t="s">
        <v>191</v>
      </c>
      <c r="D75" s="35"/>
      <c r="E75" s="35"/>
      <c r="F75" s="35"/>
      <c r="G75" s="35"/>
      <c r="H75" s="47">
        <f>VLOOKUP(C2,'iadatasheet_dwelling type'!A3:AJ11,13,FALSE)</f>
        <v>2.2999999999999998</v>
      </c>
      <c r="I75" s="47"/>
      <c r="J75" s="47"/>
    </row>
    <row r="76" spans="1:10" ht="4.5" customHeight="1" x14ac:dyDescent="0.25">
      <c r="A76" s="37"/>
      <c r="B76" s="35"/>
      <c r="C76" s="35"/>
      <c r="D76" s="35"/>
      <c r="E76" s="35"/>
      <c r="F76" s="35"/>
      <c r="G76" s="35"/>
      <c r="H76" s="35"/>
      <c r="I76" s="47"/>
      <c r="J76" s="44"/>
    </row>
    <row r="77" spans="1:10" ht="12" customHeight="1" x14ac:dyDescent="0.25">
      <c r="A77" s="26" t="s">
        <v>187</v>
      </c>
      <c r="B77" s="35"/>
      <c r="C77" s="35" t="s">
        <v>188</v>
      </c>
      <c r="D77" s="35"/>
      <c r="E77" s="35"/>
      <c r="F77" s="35"/>
      <c r="G77" s="35"/>
      <c r="H77" s="228">
        <f>VLOOKUP(C2,'iadatasheet_dwelling type'!A3:AJ11,14,FALSE)</f>
        <v>22697</v>
      </c>
      <c r="I77" s="47">
        <f>VLOOKUP(C2,'iadatasheet_dwelling type'!A3:AJ11,29,FALSE)</f>
        <v>48.587147322001968</v>
      </c>
      <c r="J77" s="44">
        <f>VLOOKUP(D5,'iadatasheet_dwelling type'!A3:AJ11,29,FALSE)</f>
        <v>67.208775637734291</v>
      </c>
    </row>
    <row r="78" spans="1:10" ht="12" customHeight="1" x14ac:dyDescent="0.25">
      <c r="A78" s="26"/>
      <c r="B78" s="35"/>
      <c r="C78" s="35" t="s">
        <v>192</v>
      </c>
      <c r="D78" s="35"/>
      <c r="E78" s="35"/>
      <c r="F78" s="35"/>
      <c r="G78" s="35"/>
      <c r="H78" s="228">
        <f>VLOOKUP(C2,'iadatasheet_dwelling type'!A3:AJ11,18,FALSE)</f>
        <v>7109</v>
      </c>
      <c r="I78" s="47">
        <f>VLOOKUP(C2,'iadatasheet_dwelling type'!A3:AJ11,33,FALSE)</f>
        <v>15.218135890739394</v>
      </c>
      <c r="J78" s="44">
        <f>VLOOKUP(D5,'iadatasheet_dwelling type'!A3:AJ11,33,FALSE)</f>
        <v>6.2633089344493937</v>
      </c>
    </row>
    <row r="79" spans="1:10" ht="12" customHeight="1" x14ac:dyDescent="0.25">
      <c r="A79" s="37"/>
      <c r="B79" s="35"/>
      <c r="C79" s="35" t="s">
        <v>193</v>
      </c>
      <c r="D79" s="35"/>
      <c r="E79" s="35"/>
      <c r="F79" s="35"/>
      <c r="G79" s="35"/>
      <c r="H79" s="228">
        <f>VLOOKUP(C2,'iadatasheet_dwelling type'!A3:AJ11,19,FALSE)</f>
        <v>3914</v>
      </c>
      <c r="I79" s="47">
        <f>VLOOKUP(C2,'iadatasheet_dwelling type'!A3:AJ11,34,FALSE)</f>
        <v>8.3786445177034725</v>
      </c>
      <c r="J79" s="44">
        <f>VLOOKUP(D5,'iadatasheet_dwelling type'!A3:AJ11,34,FALSE)</f>
        <v>9.0630112123419337</v>
      </c>
    </row>
    <row r="80" spans="1:10" ht="12" customHeight="1" x14ac:dyDescent="0.25">
      <c r="A80" s="37"/>
      <c r="B80" s="35"/>
      <c r="C80" s="35" t="s">
        <v>189</v>
      </c>
      <c r="D80" s="35"/>
      <c r="E80" s="35"/>
      <c r="F80" s="35"/>
      <c r="G80" s="35"/>
      <c r="H80" s="228">
        <f>VLOOKUP(C2,'iadatasheet_dwelling type'!A3:AJ11,20,FALSE)</f>
        <v>12258</v>
      </c>
      <c r="I80" s="47">
        <f>VLOOKUP(C2,'iadatasheet_dwelling type'!A3:AJ11,35,FALSE)</f>
        <v>26.240527464999786</v>
      </c>
      <c r="J80" s="44">
        <f>VLOOKUP(D5,'iadatasheet_dwelling type'!A3:AJ11,35,FALSE)</f>
        <v>15.968333194024861</v>
      </c>
    </row>
    <row r="81" spans="1:10" ht="12" customHeight="1" thickBot="1" x14ac:dyDescent="0.3">
      <c r="A81" s="60" t="s">
        <v>318</v>
      </c>
      <c r="B81" s="43"/>
      <c r="C81" s="43"/>
      <c r="D81" s="43"/>
      <c r="E81" s="43"/>
      <c r="F81" s="43"/>
      <c r="G81" s="43"/>
      <c r="H81" s="32"/>
      <c r="I81" s="52"/>
      <c r="J81" s="45"/>
    </row>
    <row r="82" spans="1:10" ht="12" customHeight="1" thickBot="1" x14ac:dyDescent="0.3">
      <c r="A82" s="35"/>
      <c r="B82" s="35"/>
      <c r="C82" s="35"/>
      <c r="D82" s="35"/>
      <c r="E82" s="35"/>
      <c r="F82" s="35"/>
      <c r="G82" s="35"/>
      <c r="H82" s="35"/>
      <c r="I82" s="35"/>
      <c r="J82" s="35"/>
    </row>
    <row r="83" spans="1:10" ht="12" customHeight="1" thickBot="1" x14ac:dyDescent="0.3">
      <c r="A83" s="276" t="s">
        <v>194</v>
      </c>
      <c r="B83" s="277"/>
      <c r="C83" s="277"/>
      <c r="D83" s="277"/>
      <c r="E83" s="277"/>
      <c r="F83" s="277"/>
      <c r="G83" s="277"/>
      <c r="H83" s="277"/>
      <c r="I83" s="278"/>
      <c r="J83" s="35"/>
    </row>
    <row r="84" spans="1:10" ht="12" customHeight="1" x14ac:dyDescent="0.25">
      <c r="A84" s="55"/>
      <c r="B84" s="51"/>
      <c r="C84" s="51"/>
      <c r="D84" s="51"/>
      <c r="E84" s="90"/>
      <c r="F84" s="51"/>
      <c r="G84" s="51" t="s">
        <v>5</v>
      </c>
      <c r="H84" s="221" t="s">
        <v>178</v>
      </c>
      <c r="I84" s="220" t="s">
        <v>367</v>
      </c>
      <c r="J84" s="35"/>
    </row>
    <row r="85" spans="1:10" ht="12" customHeight="1" x14ac:dyDescent="0.25">
      <c r="A85" s="279" t="s">
        <v>64</v>
      </c>
      <c r="B85" s="35"/>
      <c r="C85" s="28" t="s">
        <v>195</v>
      </c>
      <c r="D85" s="28"/>
      <c r="E85" s="90"/>
      <c r="F85" s="35"/>
      <c r="G85" s="228">
        <f>VLOOKUP(C2,'iadatasheet_economic activity'!A3:AA11,13,FALSE)</f>
        <v>60245</v>
      </c>
      <c r="H85" s="47">
        <f>VLOOKUP(C2,'iadatasheet_economic activity'!A3:AA11,25,FALSE)</f>
        <v>61.297477691971146</v>
      </c>
      <c r="I85" s="44">
        <f>VLOOKUP(D5,'iadatasheet_economic activity'!A3:AA11,25,FALSE)</f>
        <v>69.014695045298893</v>
      </c>
      <c r="J85" s="35"/>
    </row>
    <row r="86" spans="1:10" ht="12" customHeight="1" x14ac:dyDescent="0.25">
      <c r="A86" s="279"/>
      <c r="B86" s="35"/>
      <c r="C86" s="35" t="s">
        <v>196</v>
      </c>
      <c r="D86" s="35"/>
      <c r="E86" s="90"/>
      <c r="F86" s="35"/>
      <c r="G86" s="228">
        <f>VLOOKUP(C2,'iadatasheet_economic activity'!A3:AA11,3,FALSE)</f>
        <v>47351</v>
      </c>
      <c r="H86" s="47">
        <f>VLOOKUP(C2,'iadatasheet_economic activity'!A3:AA11,16,FALSE)</f>
        <v>48.178220038053375</v>
      </c>
      <c r="I86" s="44">
        <f>VLOOKUP(D5,'iadatasheet_economic activity'!A3:AA11,16,FALSE)</f>
        <v>55.980753391997915</v>
      </c>
      <c r="J86" s="35"/>
    </row>
    <row r="87" spans="1:10" ht="12" customHeight="1" x14ac:dyDescent="0.25">
      <c r="A87" s="41"/>
      <c r="B87" s="35"/>
      <c r="C87" s="35" t="s">
        <v>65</v>
      </c>
      <c r="D87" s="35"/>
      <c r="E87" s="90"/>
      <c r="F87" s="35"/>
      <c r="G87" s="228">
        <f>VLOOKUP(C2,'iadatasheet_economic activity'!A3:AA11,4,FALSE)</f>
        <v>7291</v>
      </c>
      <c r="H87" s="47">
        <f>VLOOKUP(C2,'iadatasheet_economic activity'!A3:AA11,17,FALSE)</f>
        <v>7.418373472523224</v>
      </c>
      <c r="I87" s="44">
        <f>VLOOKUP(D5,'iadatasheet_economic activity'!A3:AA11,17,FALSE)</f>
        <v>9.8292080280896439</v>
      </c>
      <c r="J87" s="35"/>
    </row>
    <row r="88" spans="1:10" ht="12" customHeight="1" x14ac:dyDescent="0.25">
      <c r="A88" s="41"/>
      <c r="B88" s="35"/>
      <c r="C88" s="35" t="s">
        <v>353</v>
      </c>
      <c r="D88" s="35"/>
      <c r="E88" s="90"/>
      <c r="F88" s="35"/>
      <c r="G88" s="228">
        <f>VLOOKUP(C2,'iadatasheet_economic activity'!A3:AA11,5,FALSE)</f>
        <v>5603</v>
      </c>
      <c r="H88" s="47">
        <f>VLOOKUP(C2,'iadatasheet_economic activity'!A3:AA11,18,FALSE)</f>
        <v>5.7008841813945441</v>
      </c>
      <c r="I88" s="44">
        <f>VLOOKUP(D5,'iadatasheet_economic activity'!A3:AA11,18,FALSE)</f>
        <v>3.2047336252113228</v>
      </c>
      <c r="J88" s="35"/>
    </row>
    <row r="89" spans="1:10" ht="12" customHeight="1" x14ac:dyDescent="0.25">
      <c r="A89" s="41"/>
      <c r="B89" s="35"/>
      <c r="C89" s="28" t="s">
        <v>72</v>
      </c>
      <c r="D89" s="28"/>
      <c r="E89" s="90"/>
      <c r="F89" s="35"/>
      <c r="G89" s="228">
        <f>VLOOKUP(C2,'iadatasheet_economic activity'!A3:AA11,6,FALSE)</f>
        <v>2641</v>
      </c>
      <c r="H89" s="47">
        <f>VLOOKUP(C2,'iadatasheet_economic activity'!A3:AA11,19,FALSE)</f>
        <v>2.6871381622457595</v>
      </c>
      <c r="I89" s="44">
        <f>VLOOKUP(D5,'iadatasheet_economic activity'!A3:AA11,19,FALSE)</f>
        <v>2.9856083922146603</v>
      </c>
      <c r="J89" s="35"/>
    </row>
    <row r="90" spans="1:10" ht="12" customHeight="1" x14ac:dyDescent="0.25">
      <c r="A90" s="41"/>
      <c r="B90" s="35"/>
      <c r="C90" s="35"/>
      <c r="D90" s="35"/>
      <c r="E90" s="90"/>
      <c r="F90" s="35"/>
      <c r="G90" s="31"/>
      <c r="H90" s="31"/>
      <c r="I90" s="30"/>
      <c r="J90" s="35"/>
    </row>
    <row r="91" spans="1:10" ht="12" customHeight="1" x14ac:dyDescent="0.25">
      <c r="A91" s="279" t="s">
        <v>66</v>
      </c>
      <c r="B91" s="35"/>
      <c r="C91" s="35" t="s">
        <v>67</v>
      </c>
      <c r="D91" s="35"/>
      <c r="E91" s="90"/>
      <c r="F91" s="35"/>
      <c r="G91" s="228">
        <f>VLOOKUP(C2,'iadatasheet_economic activity'!A3:AA11,7,FALSE)</f>
        <v>7001</v>
      </c>
      <c r="H91" s="47">
        <f>VLOOKUP(C2,'iadatasheet_economic activity'!A3:AA11,20,FALSE)</f>
        <v>7.1233071843553821</v>
      </c>
      <c r="I91" s="44">
        <f>VLOOKUP(D5,'iadatasheet_economic activity'!A3:AA11,20,FALSE)</f>
        <v>12.74784342624301</v>
      </c>
      <c r="J91" s="35"/>
    </row>
    <row r="92" spans="1:10" ht="12" customHeight="1" x14ac:dyDescent="0.25">
      <c r="A92" s="279"/>
      <c r="B92" s="35"/>
      <c r="C92" s="35" t="s">
        <v>68</v>
      </c>
      <c r="D92" s="35"/>
      <c r="E92" s="90"/>
      <c r="F92" s="35"/>
      <c r="G92" s="228">
        <f>VLOOKUP(C2,'iadatasheet_economic activity'!A3:AA11,8,FALSE)</f>
        <v>21463</v>
      </c>
      <c r="H92" s="47">
        <f>VLOOKUP(C2,'iadatasheet_economic activity'!A3:AA11,21,FALSE)</f>
        <v>21.837957734297895</v>
      </c>
      <c r="I92" s="44">
        <f>VLOOKUP(D5,'iadatasheet_economic activity'!A3:AA11,21,FALSE)</f>
        <v>7.3020070224110274</v>
      </c>
      <c r="J92" s="35"/>
    </row>
    <row r="93" spans="1:10" ht="12" customHeight="1" x14ac:dyDescent="0.25">
      <c r="A93" s="26"/>
      <c r="B93" s="35"/>
      <c r="C93" s="35" t="s">
        <v>197</v>
      </c>
      <c r="D93" s="35"/>
      <c r="E93" s="90"/>
      <c r="F93" s="35"/>
      <c r="G93" s="228">
        <f>VLOOKUP(C2,'iadatasheet_economic activity'!A3:AA11,9,FALSE)</f>
        <v>2949</v>
      </c>
      <c r="H93" s="47">
        <f>VLOOKUP(C2,'iadatasheet_economic activity'!A3:AA11,22,FALSE)</f>
        <v>3.0005189096791915</v>
      </c>
      <c r="I93" s="44">
        <f>VLOOKUP(D5,'iadatasheet_economic activity'!A3:AA11,22,FALSE)</f>
        <v>3.6965191382374614</v>
      </c>
      <c r="J93" s="35"/>
    </row>
    <row r="94" spans="1:10" ht="12" customHeight="1" x14ac:dyDescent="0.25">
      <c r="A94" s="37"/>
      <c r="B94" s="35"/>
      <c r="C94" s="35" t="s">
        <v>70</v>
      </c>
      <c r="D94" s="35"/>
      <c r="E94" s="90"/>
      <c r="F94" s="35"/>
      <c r="G94" s="228">
        <f>VLOOKUP(C2,'iadatasheet_economic activity'!A3:AA11,10,FALSE)</f>
        <v>2437</v>
      </c>
      <c r="H94" s="47">
        <f>VLOOKUP(C2,'iadatasheet_economic activity'!A3:AA11,23,FALSE)</f>
        <v>2.479574290569071</v>
      </c>
      <c r="I94" s="44">
        <f>VLOOKUP(D5,'iadatasheet_economic activity'!A3:AA11,23,FALSE)</f>
        <v>2.6485760110971435</v>
      </c>
      <c r="J94" s="35"/>
    </row>
    <row r="95" spans="1:10" ht="12" customHeight="1" thickBot="1" x14ac:dyDescent="0.3">
      <c r="A95" s="42"/>
      <c r="B95" s="43"/>
      <c r="C95" s="43" t="s">
        <v>48</v>
      </c>
      <c r="D95" s="43"/>
      <c r="E95" s="91"/>
      <c r="F95" s="43"/>
      <c r="G95" s="229">
        <f>VLOOKUP(C2,'iadatasheet_economic activity'!A3:AA11,11,FALSE)</f>
        <v>1547</v>
      </c>
      <c r="H95" s="52">
        <f>VLOOKUP(C2,'iadatasheet_economic activity'!A3:AA11,24,FALSE)</f>
        <v>1.5740260268815562</v>
      </c>
      <c r="I95" s="45">
        <f>VLOOKUP(D5,'iadatasheet_economic activity'!A3:AA11,24,FALSE)</f>
        <v>1.6047509644978111</v>
      </c>
      <c r="J95" s="35"/>
    </row>
    <row r="96" spans="1:10" ht="12" customHeight="1" thickBot="1" x14ac:dyDescent="0.3">
      <c r="A96" s="35"/>
      <c r="B96" s="35"/>
      <c r="C96" s="35"/>
      <c r="D96" s="35"/>
      <c r="E96" s="35"/>
      <c r="F96" s="35"/>
      <c r="G96" s="35"/>
      <c r="H96" s="35"/>
      <c r="I96" s="35"/>
      <c r="J96" s="35"/>
    </row>
    <row r="97" spans="1:11" ht="12" customHeight="1" thickBot="1" x14ac:dyDescent="0.3">
      <c r="A97" s="276" t="s">
        <v>320</v>
      </c>
      <c r="B97" s="277"/>
      <c r="C97" s="277"/>
      <c r="D97" s="277"/>
      <c r="E97" s="278"/>
      <c r="F97" s="66"/>
      <c r="G97" s="276" t="s">
        <v>225</v>
      </c>
      <c r="H97" s="277"/>
      <c r="I97" s="277"/>
      <c r="J97" s="278"/>
    </row>
    <row r="98" spans="1:11" ht="12" customHeight="1" x14ac:dyDescent="0.25">
      <c r="A98" s="37"/>
      <c r="B98" s="35"/>
      <c r="C98" s="38" t="s">
        <v>5</v>
      </c>
      <c r="D98" s="38" t="s">
        <v>223</v>
      </c>
      <c r="E98" s="67" t="s">
        <v>368</v>
      </c>
      <c r="F98" s="39"/>
      <c r="G98" s="37"/>
      <c r="H98" s="38" t="s">
        <v>5</v>
      </c>
      <c r="I98" s="38" t="s">
        <v>178</v>
      </c>
      <c r="J98" s="67" t="s">
        <v>367</v>
      </c>
      <c r="K98" s="118"/>
    </row>
    <row r="99" spans="1:11" ht="12" customHeight="1" x14ac:dyDescent="0.25">
      <c r="A99" s="37" t="s">
        <v>222</v>
      </c>
      <c r="B99" s="35"/>
      <c r="C99" s="228">
        <f>VLOOKUP(C2,'iadatasheet_travel to work'!A3:U11,14,FALSE)</f>
        <v>20479</v>
      </c>
      <c r="D99" s="47">
        <f>VLOOKUP(C2,'iadatasheet_travel to work'!A3:U11,15,FALSE)</f>
        <v>20.836767294445632</v>
      </c>
      <c r="E99" s="44">
        <f>VLOOKUP(D5,'iadatasheet_travel to work'!A3:U11,15,FALSE)</f>
        <v>44.52837140751658</v>
      </c>
      <c r="F99" s="65"/>
      <c r="G99" s="37" t="s">
        <v>226</v>
      </c>
      <c r="H99" s="228">
        <f>VLOOKUP(C2,iadatasheet_qualifications!A3:R11,4,FALSE)</f>
        <v>12606</v>
      </c>
      <c r="I99" s="47">
        <f>VLOOKUP(C2,iadatasheet_qualifications!A3:R11,5,FALSE)</f>
        <v>11.891667531389437</v>
      </c>
      <c r="J99" s="44">
        <f>VLOOKUP(D5,iadatasheet_qualifications!A3:R11,5,FALSE)</f>
        <v>18.853656761769155</v>
      </c>
    </row>
    <row r="100" spans="1:11" ht="12" customHeight="1" x14ac:dyDescent="0.25">
      <c r="A100" s="37" t="s">
        <v>206</v>
      </c>
      <c r="B100" s="35"/>
      <c r="C100" s="228">
        <f>VLOOKUP(C2,'iadatasheet_travel to work'!A3:U11,8,FALSE)</f>
        <v>3862</v>
      </c>
      <c r="D100" s="47">
        <f>VLOOKUP(C2,'iadatasheet_travel to work'!A3:U11,9,FALSE)</f>
        <v>3.9294689824282942</v>
      </c>
      <c r="E100" s="44">
        <f>VLOOKUP(D5,'iadatasheet_travel to work'!A3:U11,9,FALSE)</f>
        <v>2.4233820278295548</v>
      </c>
      <c r="F100" s="65"/>
      <c r="G100" s="37" t="s">
        <v>242</v>
      </c>
      <c r="H100" s="228">
        <f>VLOOKUP(C2,iadatasheet_qualifications!A3:R11,10,FALSE)</f>
        <v>50169</v>
      </c>
      <c r="I100" s="47">
        <f>VLOOKUP(C2,iadatasheet_qualifications!A3:R11,11,FALSE)</f>
        <v>47.326119973209316</v>
      </c>
      <c r="J100" s="44">
        <f>VLOOKUP(D5,iadatasheet_qualifications!A3:R11,11,FALSE)</f>
        <v>32.958154774430696</v>
      </c>
    </row>
    <row r="101" spans="1:11" ht="12" customHeight="1" x14ac:dyDescent="0.25">
      <c r="A101" s="37" t="s">
        <v>207</v>
      </c>
      <c r="B101" s="35"/>
      <c r="C101" s="228">
        <f>VLOOKUP(C2,'iadatasheet_travel to work'!A3:U11,6,FALSE)</f>
        <v>2912</v>
      </c>
      <c r="D101" s="47">
        <f>VLOOKUP(C2,'iadatasheet_travel to work'!A3:U11,7,FALSE)</f>
        <v>2.9628725211888121</v>
      </c>
      <c r="E101" s="44">
        <f>VLOOKUP(D5,'iadatasheet_travel to work'!A3:U11,7,FALSE)</f>
        <v>2.6344878408253498</v>
      </c>
      <c r="F101" s="65"/>
      <c r="G101" s="37"/>
      <c r="H101" s="35"/>
      <c r="I101" s="35"/>
      <c r="J101" s="62"/>
    </row>
    <row r="102" spans="1:11" ht="12" customHeight="1" x14ac:dyDescent="0.25">
      <c r="A102" s="37" t="s">
        <v>208</v>
      </c>
      <c r="B102" s="35"/>
      <c r="C102" s="228">
        <f>VLOOKUP(C2,'iadatasheet_travel to work'!A3:U11,16,FALSE)</f>
        <v>17755</v>
      </c>
      <c r="D102" s="47">
        <f>VLOOKUP(C2,'iadatasheet_travel to work'!A3:U11,17,FALSE)</f>
        <v>18.065179125586319</v>
      </c>
      <c r="E102" s="44">
        <f>VLOOKUP(D5,'iadatasheet_travel to work'!A3:U11,17,FALSE)</f>
        <v>6.6134206077419915</v>
      </c>
      <c r="F102" s="65"/>
      <c r="G102" s="283" t="s">
        <v>243</v>
      </c>
      <c r="H102" s="284"/>
      <c r="I102" s="284"/>
      <c r="J102" s="285"/>
    </row>
    <row r="103" spans="1:11" ht="12" customHeight="1" x14ac:dyDescent="0.25">
      <c r="A103" s="37" t="s">
        <v>209</v>
      </c>
      <c r="B103" s="35"/>
      <c r="C103" s="228">
        <f>VLOOKUP(C2,'iadatasheet_travel to work'!A3:U11,18,FALSE)</f>
        <v>9389</v>
      </c>
      <c r="D103" s="47">
        <f>VLOOKUP(C2,'iadatasheet_travel to work'!A3:U11,19,FALSE)</f>
        <v>9.5530254469236802</v>
      </c>
      <c r="E103" s="44">
        <f>VLOOKUP(D5,'iadatasheet_travel to work'!A3:U11,19,FALSE)</f>
        <v>6.5694221682777751</v>
      </c>
      <c r="F103" s="65"/>
      <c r="G103" s="283"/>
      <c r="H103" s="284"/>
      <c r="I103" s="284"/>
      <c r="J103" s="285"/>
    </row>
    <row r="104" spans="1:11" ht="12" customHeight="1" thickBot="1" x14ac:dyDescent="0.3">
      <c r="A104" s="60" t="s">
        <v>321</v>
      </c>
      <c r="B104" s="43"/>
      <c r="C104" s="43"/>
      <c r="D104" s="43"/>
      <c r="E104" s="53"/>
      <c r="F104" s="35"/>
      <c r="G104" s="286"/>
      <c r="H104" s="287"/>
      <c r="I104" s="287"/>
      <c r="J104" s="288"/>
    </row>
    <row r="105" spans="1:11" ht="12" customHeight="1" thickBot="1" x14ac:dyDescent="0.3">
      <c r="A105" s="35"/>
      <c r="B105" s="35"/>
      <c r="C105" s="35"/>
      <c r="D105" s="35"/>
      <c r="E105" s="35"/>
      <c r="F105" s="35"/>
      <c r="G105" s="35"/>
      <c r="H105" s="35"/>
      <c r="I105" s="35"/>
      <c r="J105" s="35"/>
    </row>
    <row r="106" spans="1:11" ht="12" customHeight="1" thickBot="1" x14ac:dyDescent="0.3">
      <c r="A106" s="276" t="s">
        <v>113</v>
      </c>
      <c r="B106" s="277"/>
      <c r="C106" s="277"/>
      <c r="D106" s="277"/>
      <c r="E106" s="278"/>
      <c r="F106" s="35"/>
      <c r="G106" s="276" t="s">
        <v>250</v>
      </c>
      <c r="H106" s="277"/>
      <c r="I106" s="277"/>
      <c r="J106" s="278"/>
    </row>
    <row r="107" spans="1:11" ht="12" customHeight="1" x14ac:dyDescent="0.25">
      <c r="A107" s="133"/>
      <c r="B107" s="134"/>
      <c r="C107" s="136" t="s">
        <v>5</v>
      </c>
      <c r="D107" s="136" t="s">
        <v>178</v>
      </c>
      <c r="E107" s="67" t="s">
        <v>367</v>
      </c>
      <c r="F107" s="35"/>
      <c r="G107" s="37"/>
      <c r="H107" s="39" t="s">
        <v>5</v>
      </c>
      <c r="I107" s="39" t="s">
        <v>178</v>
      </c>
      <c r="J107" s="67" t="s">
        <v>367</v>
      </c>
    </row>
    <row r="108" spans="1:11" ht="12" customHeight="1" x14ac:dyDescent="0.25">
      <c r="A108" s="37" t="s">
        <v>115</v>
      </c>
      <c r="B108" s="35"/>
      <c r="C108" s="228">
        <f>VLOOKUP(C2,'iadatasheet_passports held'!A3:Y11,4,FALSE)</f>
        <v>13606</v>
      </c>
      <c r="D108" s="47">
        <f>VLOOKUP(C2,'iadatasheet_passports held'!A3:Y11,5,FALSE)</f>
        <v>11</v>
      </c>
      <c r="E108" s="44">
        <f>VLOOKUP(D5,'iadatasheet_passports held'!A3:Y11,5,FALSE)</f>
        <v>16.100000000000001</v>
      </c>
      <c r="F108" s="35"/>
      <c r="G108" s="37" t="s">
        <v>198</v>
      </c>
      <c r="H108" s="228">
        <f>VLOOKUP(C2,'iadatasheet_length of residence'!A3:O11,4,FALSE)</f>
        <v>87486</v>
      </c>
      <c r="I108" s="47">
        <f>VLOOKUP(C2,'iadatasheet_length of residence'!A3:O11,5,FALSE)</f>
        <v>70.628981084550375</v>
      </c>
      <c r="J108" s="44">
        <f>VLOOKUP(D5,'iadatasheet_length of residence'!A3:O11,5,FALSE)</f>
        <v>86.204665089100303</v>
      </c>
    </row>
    <row r="109" spans="1:11" ht="12" customHeight="1" x14ac:dyDescent="0.25">
      <c r="A109" s="139" t="s">
        <v>248</v>
      </c>
      <c r="B109" s="90"/>
      <c r="C109" s="237">
        <f>VLOOKUP(C2,'iadatasheet_passports held'!A3:Y11,6,FALSE)</f>
        <v>83069</v>
      </c>
      <c r="D109" s="140">
        <f>VLOOKUP(C2,'iadatasheet_passports held'!A3:Y11,7,FALSE)</f>
        <v>67.063059571960252</v>
      </c>
      <c r="E109" s="141">
        <f>VLOOKUP(D5,'iadatasheet_passports held'!A3:Y11,7,FALSE)</f>
        <v>74.309170811802773</v>
      </c>
      <c r="F109" s="35"/>
      <c r="G109" s="37" t="s">
        <v>251</v>
      </c>
      <c r="H109" s="228">
        <f>VLOOKUP(C2,'iadatasheet_length of residence'!A3:O11,6,FALSE)</f>
        <v>9042</v>
      </c>
      <c r="I109" s="47">
        <f>VLOOKUP(C2,'iadatasheet_length of residence'!A3:O11,7,FALSE)</f>
        <v>7.2997650705999177</v>
      </c>
      <c r="J109" s="44">
        <f>VLOOKUP(D5,'iadatasheet_length of residence'!A3:O11,7,FALSE)</f>
        <v>2.6804140306820559</v>
      </c>
    </row>
    <row r="110" spans="1:11" ht="12" customHeight="1" x14ac:dyDescent="0.25">
      <c r="A110" s="139" t="s">
        <v>307</v>
      </c>
      <c r="B110" s="90"/>
      <c r="C110" s="237">
        <f>VLOOKUP(C2,'iadatasheet_passports held'!A3:Y11,8,FALSE)</f>
        <v>1558</v>
      </c>
      <c r="D110" s="140">
        <f>VLOOKUP(C2,'iadatasheet_passports held'!A3:Y11,9,FALSE)</f>
        <v>1.3</v>
      </c>
      <c r="E110" s="141">
        <f>VLOOKUP(D5,'iadatasheet_passports held'!A3:Y11,9,FALSE)</f>
        <v>0.6</v>
      </c>
      <c r="F110" s="35"/>
      <c r="G110" s="37" t="s">
        <v>252</v>
      </c>
      <c r="H110" s="228">
        <f>VLOOKUP(C2,'iadatasheet_length of residence'!A3:O11,8,FALSE)</f>
        <v>8141</v>
      </c>
      <c r="I110" s="47">
        <f>VLOOKUP(C2,'iadatasheet_length of residence'!A3:O11,9,FALSE)</f>
        <v>6.5723719796233055</v>
      </c>
      <c r="J110" s="44">
        <f>VLOOKUP(D5,'iadatasheet_length of residence'!A3:O11,9,FALSE)</f>
        <v>2.8288340496772428</v>
      </c>
    </row>
    <row r="111" spans="1:11" ht="12" customHeight="1" thickBot="1" x14ac:dyDescent="0.3">
      <c r="A111" s="42" t="s">
        <v>249</v>
      </c>
      <c r="B111" s="43"/>
      <c r="C111" s="229">
        <f>VLOOKUP(C2,'iadatasheet_passports held'!A3:Y11,10,FALSE)</f>
        <v>13464</v>
      </c>
      <c r="D111" s="52">
        <f>VLOOKUP(C2,'iadatasheet_passports held'!A3:Y11,11,FALSE)</f>
        <v>10.869723170820315</v>
      </c>
      <c r="E111" s="45">
        <f>VLOOKUP(D5,'iadatasheet_passports held'!A3:Y11,11,FALSE)</f>
        <v>5.0224561742405953</v>
      </c>
      <c r="F111" s="35"/>
      <c r="G111" s="42" t="s">
        <v>253</v>
      </c>
      <c r="H111" s="229">
        <f>VLOOKUP(C2,'iadatasheet_length of residence'!A3:O11,10,FALSE)</f>
        <v>19198</v>
      </c>
      <c r="I111" s="52">
        <f>VLOOKUP(C2,'iadatasheet_length of residence'!A3:O11,11,FALSE)</f>
        <v>15.498881865226414</v>
      </c>
      <c r="J111" s="45">
        <f>VLOOKUP(D5,'iadatasheet_length of residence'!A3:O11,11,FALSE)</f>
        <v>8.2860868305403965</v>
      </c>
    </row>
    <row r="112" spans="1:11" ht="6" customHeight="1" x14ac:dyDescent="0.25">
      <c r="A112" s="35"/>
      <c r="B112" s="35"/>
      <c r="C112" s="35"/>
      <c r="D112" s="35"/>
      <c r="E112" s="35"/>
      <c r="F112" s="35"/>
      <c r="G112" s="35"/>
      <c r="H112" s="35"/>
      <c r="I112" s="35"/>
      <c r="J112" s="35"/>
    </row>
    <row r="113" spans="1:10" ht="12" customHeight="1" x14ac:dyDescent="0.25">
      <c r="A113" s="280" t="s">
        <v>2</v>
      </c>
      <c r="B113" s="280"/>
      <c r="C113" s="280"/>
      <c r="D113" s="280"/>
      <c r="E113" s="280"/>
      <c r="F113" s="280"/>
      <c r="G113" s="280"/>
      <c r="H113" s="92"/>
      <c r="I113" s="92"/>
      <c r="J113" s="92"/>
    </row>
    <row r="114" spans="1:10" ht="12" x14ac:dyDescent="0.25">
      <c r="A114" s="280"/>
      <c r="B114" s="280"/>
      <c r="C114" s="280"/>
      <c r="D114" s="280"/>
      <c r="E114" s="280"/>
      <c r="F114" s="280"/>
      <c r="G114" s="280"/>
      <c r="H114" s="92"/>
      <c r="I114" s="92"/>
      <c r="J114" s="92"/>
    </row>
    <row r="115" spans="1:10" ht="6" customHeight="1" x14ac:dyDescent="0.25">
      <c r="A115" s="280"/>
      <c r="B115" s="280"/>
      <c r="C115" s="280"/>
      <c r="D115" s="280"/>
      <c r="E115" s="280"/>
      <c r="F115" s="280"/>
      <c r="G115" s="280"/>
      <c r="H115" s="35"/>
      <c r="I115" s="35"/>
      <c r="J115" s="35"/>
    </row>
    <row r="116" spans="1:10" ht="12" customHeight="1" x14ac:dyDescent="0.25">
      <c r="A116" s="280"/>
      <c r="B116" s="280"/>
      <c r="C116" s="280"/>
      <c r="D116" s="280"/>
      <c r="E116" s="280"/>
      <c r="F116" s="280"/>
      <c r="G116" s="280"/>
      <c r="H116" s="93"/>
      <c r="I116" s="93"/>
      <c r="J116" s="93"/>
    </row>
    <row r="117" spans="1:10" ht="12" customHeight="1" x14ac:dyDescent="0.25">
      <c r="A117" s="280"/>
      <c r="B117" s="280"/>
      <c r="C117" s="280"/>
      <c r="D117" s="280"/>
      <c r="E117" s="280"/>
      <c r="F117" s="280"/>
      <c r="G117" s="280"/>
      <c r="H117" s="93"/>
      <c r="I117" s="93"/>
      <c r="J117" s="93"/>
    </row>
    <row r="118" spans="1:10" ht="12" customHeight="1" x14ac:dyDescent="0.25">
      <c r="A118" s="280"/>
      <c r="B118" s="280"/>
      <c r="C118" s="280"/>
      <c r="D118" s="280"/>
      <c r="E118" s="280"/>
      <c r="F118" s="280"/>
      <c r="G118" s="280"/>
      <c r="H118" s="93"/>
      <c r="I118" s="93"/>
      <c r="J118" s="93"/>
    </row>
    <row r="119" spans="1:10" ht="12" customHeight="1" x14ac:dyDescent="0.25">
      <c r="A119" s="280"/>
      <c r="B119" s="280"/>
      <c r="C119" s="280"/>
      <c r="D119" s="280"/>
      <c r="E119" s="280"/>
      <c r="F119" s="280"/>
      <c r="G119" s="280"/>
      <c r="H119" s="93"/>
      <c r="I119" s="93"/>
      <c r="J119" s="93"/>
    </row>
    <row r="120" spans="1:10" ht="12" customHeight="1" x14ac:dyDescent="0.25">
      <c r="A120" s="280"/>
      <c r="B120" s="280"/>
      <c r="C120" s="280"/>
      <c r="D120" s="280"/>
      <c r="E120" s="280"/>
      <c r="F120" s="280"/>
      <c r="G120" s="280"/>
      <c r="H120" s="89"/>
      <c r="I120" s="89"/>
      <c r="J120" s="89"/>
    </row>
    <row r="121" spans="1:10" ht="12" customHeight="1" x14ac:dyDescent="0.25">
      <c r="A121" s="280"/>
      <c r="B121" s="280"/>
      <c r="C121" s="280"/>
      <c r="D121" s="280"/>
      <c r="E121" s="280"/>
      <c r="F121" s="280"/>
      <c r="G121" s="280"/>
      <c r="H121" s="89"/>
      <c r="I121" s="89"/>
      <c r="J121" s="89"/>
    </row>
    <row r="122" spans="1:10" ht="12" customHeight="1" x14ac:dyDescent="0.25">
      <c r="A122" s="280"/>
      <c r="B122" s="280"/>
      <c r="C122" s="280"/>
      <c r="D122" s="280"/>
      <c r="E122" s="280"/>
      <c r="F122" s="280"/>
      <c r="G122" s="280"/>
      <c r="H122" s="86"/>
      <c r="I122" s="86"/>
      <c r="J122" s="86"/>
    </row>
    <row r="123" spans="1:10" ht="6" customHeight="1" x14ac:dyDescent="0.25">
      <c r="A123" s="68"/>
      <c r="B123" s="68"/>
      <c r="C123" s="68"/>
      <c r="D123" s="68"/>
      <c r="E123" s="68"/>
      <c r="F123" s="68"/>
      <c r="G123" s="68"/>
      <c r="H123" s="68"/>
      <c r="I123" s="68"/>
      <c r="J123" s="68"/>
    </row>
    <row r="124" spans="1:10" ht="12" customHeight="1" x14ac:dyDescent="0.25">
      <c r="A124" s="310" t="s">
        <v>255</v>
      </c>
      <c r="B124" s="310"/>
      <c r="C124" s="310"/>
      <c r="D124" s="310"/>
      <c r="E124" s="310"/>
      <c r="F124" s="310"/>
      <c r="G124" s="310"/>
      <c r="H124" s="310"/>
      <c r="I124" s="310"/>
      <c r="J124" s="310"/>
    </row>
    <row r="125" spans="1:10" ht="12" customHeight="1" x14ac:dyDescent="0.25">
      <c r="A125" s="310"/>
      <c r="B125" s="310"/>
      <c r="C125" s="310"/>
      <c r="D125" s="310"/>
      <c r="E125" s="310"/>
      <c r="F125" s="310"/>
      <c r="G125" s="310"/>
      <c r="H125" s="310"/>
      <c r="I125" s="310"/>
      <c r="J125" s="310"/>
    </row>
    <row r="126" spans="1:10" ht="6" customHeight="1" x14ac:dyDescent="0.25">
      <c r="A126" s="35"/>
      <c r="B126" s="35"/>
      <c r="C126" s="35"/>
      <c r="D126" s="35"/>
      <c r="E126" s="35"/>
      <c r="F126" s="35"/>
      <c r="G126" s="35"/>
      <c r="H126" s="35"/>
      <c r="I126" s="35"/>
      <c r="J126" s="35"/>
    </row>
    <row r="127" spans="1:10" ht="12" customHeight="1" x14ac:dyDescent="0.25">
      <c r="A127" s="85" t="s">
        <v>283</v>
      </c>
      <c r="B127" s="68"/>
      <c r="C127" s="68"/>
      <c r="D127" s="68"/>
      <c r="E127" s="68"/>
      <c r="F127" s="68"/>
      <c r="G127" s="68"/>
      <c r="H127" s="68"/>
      <c r="I127" s="68"/>
      <c r="J127" s="68"/>
    </row>
  </sheetData>
  <mergeCells count="63">
    <mergeCell ref="A18:G18"/>
    <mergeCell ref="A23:I23"/>
    <mergeCell ref="C22:G22"/>
    <mergeCell ref="C21:G21"/>
    <mergeCell ref="C32:G32"/>
    <mergeCell ref="C31:G31"/>
    <mergeCell ref="C26:G26"/>
    <mergeCell ref="C25:G25"/>
    <mergeCell ref="C19:G19"/>
    <mergeCell ref="A1:E1"/>
    <mergeCell ref="A10:C10"/>
    <mergeCell ref="A7:E7"/>
    <mergeCell ref="A2:B3"/>
    <mergeCell ref="C2:E3"/>
    <mergeCell ref="D5:E5"/>
    <mergeCell ref="G2:J2"/>
    <mergeCell ref="E8:E9"/>
    <mergeCell ref="A97:E97"/>
    <mergeCell ref="B43:C43"/>
    <mergeCell ref="G97:J97"/>
    <mergeCell ref="A33:I33"/>
    <mergeCell ref="B49:G49"/>
    <mergeCell ref="C35:G35"/>
    <mergeCell ref="B56:D56"/>
    <mergeCell ref="C38:G38"/>
    <mergeCell ref="C37:G37"/>
    <mergeCell ref="B58:C58"/>
    <mergeCell ref="A28:I28"/>
    <mergeCell ref="C27:G27"/>
    <mergeCell ref="C29:G29"/>
    <mergeCell ref="C24:G24"/>
    <mergeCell ref="M5:O10"/>
    <mergeCell ref="M15:O25"/>
    <mergeCell ref="A124:J125"/>
    <mergeCell ref="C62:G62"/>
    <mergeCell ref="A73:A74"/>
    <mergeCell ref="A83:I83"/>
    <mergeCell ref="A85:A86"/>
    <mergeCell ref="A91:A92"/>
    <mergeCell ref="A67:A68"/>
    <mergeCell ref="A106:E106"/>
    <mergeCell ref="A113:G122"/>
    <mergeCell ref="A65:J65"/>
    <mergeCell ref="B51:F51"/>
    <mergeCell ref="B48:F48"/>
    <mergeCell ref="B47:F47"/>
    <mergeCell ref="A40:J40"/>
    <mergeCell ref="C20:G20"/>
    <mergeCell ref="A4:C4"/>
    <mergeCell ref="D4:E4"/>
    <mergeCell ref="G106:J106"/>
    <mergeCell ref="A62:B63"/>
    <mergeCell ref="G102:J104"/>
    <mergeCell ref="C63:G63"/>
    <mergeCell ref="A30:I30"/>
    <mergeCell ref="C34:G34"/>
    <mergeCell ref="C36:G36"/>
    <mergeCell ref="B55:D55"/>
    <mergeCell ref="B57:D57"/>
    <mergeCell ref="B52:D52"/>
    <mergeCell ref="A17:J17"/>
    <mergeCell ref="B44:C44"/>
    <mergeCell ref="B50:F50"/>
  </mergeCells>
  <phoneticPr fontId="13" type="noConversion"/>
  <hyperlinks>
    <hyperlink ref="M5:O10" location="'Data by district'!A1" display="Click here to return to home page and select another district"/>
  </hyperlinks>
  <pageMargins left="0.75" right="0.75" top="1" bottom="1" header="0.5" footer="0.5"/>
  <pageSetup paperSize="9" orientation="portrait" r:id="rId1"/>
  <headerFooter alignWithMargins="0"/>
  <rowBreaks count="1" manualBreakCount="1">
    <brk id="64" max="9" man="1"/>
  </rowBreaks>
  <ignoredErrors>
    <ignoredError sqref="G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D121"/>
  <sheetViews>
    <sheetView zoomScaleNormal="100" workbookViewId="0">
      <selection activeCell="A9" sqref="A9"/>
    </sheetView>
  </sheetViews>
  <sheetFormatPr defaultRowHeight="13.2" x14ac:dyDescent="0.25"/>
  <cols>
    <col min="1" max="1" width="26" customWidth="1"/>
    <col min="2" max="2" width="33.33203125" bestFit="1" customWidth="1"/>
    <col min="3" max="3" width="16" customWidth="1"/>
    <col min="4" max="4" width="18.6640625" style="64" customWidth="1"/>
  </cols>
  <sheetData>
    <row r="1" spans="1:4" ht="32.25" customHeight="1" x14ac:dyDescent="0.25">
      <c r="A1" s="170" t="s">
        <v>300</v>
      </c>
      <c r="B1" s="170" t="s">
        <v>369</v>
      </c>
      <c r="C1" s="171" t="s">
        <v>305</v>
      </c>
      <c r="D1" s="172" t="s">
        <v>306</v>
      </c>
    </row>
    <row r="2" spans="1:4" x14ac:dyDescent="0.25">
      <c r="A2" s="5" t="s">
        <v>309</v>
      </c>
      <c r="B2" t="s">
        <v>371</v>
      </c>
      <c r="C2" s="15">
        <v>4070</v>
      </c>
      <c r="D2" s="64">
        <f>iadatasheet_population!BA4/Districts!C2</f>
        <v>30.434152334152333</v>
      </c>
    </row>
    <row r="3" spans="1:4" x14ac:dyDescent="0.25">
      <c r="A3" t="s">
        <v>84</v>
      </c>
      <c r="B3" t="s">
        <v>336</v>
      </c>
      <c r="C3" s="15">
        <v>65172</v>
      </c>
      <c r="D3" s="64">
        <f>iadatasheet_population!BA5/Districts!C3</f>
        <v>1.2861044620389124</v>
      </c>
    </row>
    <row r="4" spans="1:4" x14ac:dyDescent="0.25">
      <c r="A4" t="s">
        <v>85</v>
      </c>
      <c r="B4" t="s">
        <v>335</v>
      </c>
      <c r="C4" s="15">
        <v>54736</v>
      </c>
      <c r="D4" s="64">
        <f>iadatasheet_population!BA6/Districts!C4</f>
        <v>1.7403902367728734</v>
      </c>
    </row>
    <row r="5" spans="1:4" x14ac:dyDescent="0.25">
      <c r="A5" t="s">
        <v>86</v>
      </c>
      <c r="B5" t="s">
        <v>334</v>
      </c>
      <c r="C5" s="23">
        <v>91255</v>
      </c>
      <c r="D5" s="64">
        <f>iadatasheet_population!BA7/Districts!C5</f>
        <v>1.8575201358829654</v>
      </c>
    </row>
    <row r="6" spans="1:4" x14ac:dyDescent="0.25">
      <c r="A6" s="5" t="s">
        <v>87</v>
      </c>
      <c r="B6" t="s">
        <v>370</v>
      </c>
      <c r="C6" s="23">
        <v>90169</v>
      </c>
      <c r="D6" s="64">
        <f>iadatasheet_population!BA8/Districts!C6</f>
        <v>1.6497354966784594</v>
      </c>
    </row>
    <row r="21" spans="1:3" x14ac:dyDescent="0.25">
      <c r="A21" s="15"/>
      <c r="C21" s="15"/>
    </row>
    <row r="119" spans="2:2" x14ac:dyDescent="0.25">
      <c r="B119" s="15"/>
    </row>
    <row r="120" spans="2:2" x14ac:dyDescent="0.25">
      <c r="B120" s="15"/>
    </row>
    <row r="121" spans="2:2" x14ac:dyDescent="0.25">
      <c r="B121" s="15"/>
    </row>
  </sheetData>
  <phoneticPr fontId="13"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BA18"/>
  <sheetViews>
    <sheetView workbookViewId="0">
      <pane xSplit="2" ySplit="3" topLeftCell="C4" activePane="bottomRight" state="frozen"/>
      <selection pane="topRight" activeCell="C1" sqref="C1"/>
      <selection pane="bottomLeft" activeCell="A4" sqref="A4"/>
      <selection pane="bottomRight" sqref="A1:B2"/>
    </sheetView>
  </sheetViews>
  <sheetFormatPr defaultColWidth="14.6640625" defaultRowHeight="13.2" x14ac:dyDescent="0.25"/>
  <cols>
    <col min="1" max="1" width="14.6640625" customWidth="1"/>
    <col min="2" max="2" width="31.33203125" style="15" bestFit="1" customWidth="1"/>
  </cols>
  <sheetData>
    <row r="1" spans="1:53" ht="12.75" customHeight="1" x14ac:dyDescent="0.25">
      <c r="A1" s="330" t="s">
        <v>323</v>
      </c>
      <c r="B1" s="331"/>
      <c r="C1" s="325" t="s">
        <v>19</v>
      </c>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6"/>
    </row>
    <row r="2" spans="1:53" s="4" customFormat="1" ht="38.25" customHeight="1" x14ac:dyDescent="0.25">
      <c r="A2" s="332"/>
      <c r="B2" s="333"/>
      <c r="C2" s="327" t="s">
        <v>7</v>
      </c>
      <c r="D2" s="327"/>
      <c r="E2" s="327"/>
      <c r="F2" s="327"/>
      <c r="G2" s="328" t="s">
        <v>10</v>
      </c>
      <c r="H2" s="329"/>
      <c r="I2" s="329"/>
      <c r="J2" s="329"/>
      <c r="K2" s="334" t="s">
        <v>11</v>
      </c>
      <c r="L2" s="335"/>
      <c r="M2" s="335"/>
      <c r="N2" s="335"/>
      <c r="O2" s="334" t="s">
        <v>147</v>
      </c>
      <c r="P2" s="335"/>
      <c r="Q2" s="335"/>
      <c r="R2" s="335"/>
      <c r="S2" s="334" t="s">
        <v>12</v>
      </c>
      <c r="T2" s="335"/>
      <c r="U2" s="335"/>
      <c r="V2" s="335"/>
      <c r="W2" s="334" t="s">
        <v>13</v>
      </c>
      <c r="X2" s="335"/>
      <c r="Y2" s="335"/>
      <c r="Z2" s="335"/>
      <c r="AA2" s="334" t="s">
        <v>14</v>
      </c>
      <c r="AB2" s="335"/>
      <c r="AC2" s="335"/>
      <c r="AD2" s="335"/>
      <c r="AE2" s="334" t="s">
        <v>15</v>
      </c>
      <c r="AF2" s="335"/>
      <c r="AG2" s="335"/>
      <c r="AH2" s="336"/>
      <c r="AI2" s="334" t="s">
        <v>16</v>
      </c>
      <c r="AJ2" s="335"/>
      <c r="AK2" s="335"/>
      <c r="AL2" s="335"/>
      <c r="AM2" s="334" t="s">
        <v>17</v>
      </c>
      <c r="AN2" s="335"/>
      <c r="AO2" s="335"/>
      <c r="AP2" s="335"/>
      <c r="AQ2" s="334" t="s">
        <v>141</v>
      </c>
      <c r="AR2" s="335"/>
      <c r="AS2" s="335"/>
      <c r="AT2" s="335"/>
      <c r="AU2" s="334" t="s">
        <v>18</v>
      </c>
      <c r="AV2" s="335"/>
      <c r="AW2" s="335"/>
      <c r="AX2" s="335"/>
      <c r="AY2" s="334" t="s">
        <v>32</v>
      </c>
      <c r="AZ2" s="335"/>
      <c r="BA2" s="336"/>
    </row>
    <row r="3" spans="1:53" s="3" customFormat="1" ht="51" customHeight="1" x14ac:dyDescent="0.25">
      <c r="A3" s="173" t="s">
        <v>364</v>
      </c>
      <c r="B3" s="173" t="s">
        <v>346</v>
      </c>
      <c r="C3" s="174" t="s">
        <v>8</v>
      </c>
      <c r="D3" s="175" t="s">
        <v>9</v>
      </c>
      <c r="E3" s="175" t="s">
        <v>31</v>
      </c>
      <c r="F3" s="173" t="s">
        <v>3</v>
      </c>
      <c r="G3" s="175" t="s">
        <v>8</v>
      </c>
      <c r="H3" s="175" t="s">
        <v>9</v>
      </c>
      <c r="I3" s="175" t="s">
        <v>31</v>
      </c>
      <c r="J3" s="173" t="s">
        <v>3</v>
      </c>
      <c r="K3" s="175" t="s">
        <v>8</v>
      </c>
      <c r="L3" s="175" t="s">
        <v>9</v>
      </c>
      <c r="M3" s="175" t="s">
        <v>31</v>
      </c>
      <c r="N3" s="173" t="s">
        <v>3</v>
      </c>
      <c r="O3" s="175" t="s">
        <v>8</v>
      </c>
      <c r="P3" s="175" t="s">
        <v>9</v>
      </c>
      <c r="Q3" s="175" t="s">
        <v>31</v>
      </c>
      <c r="R3" s="173" t="s">
        <v>3</v>
      </c>
      <c r="S3" s="175" t="s">
        <v>8</v>
      </c>
      <c r="T3" s="175" t="s">
        <v>9</v>
      </c>
      <c r="U3" s="175" t="s">
        <v>31</v>
      </c>
      <c r="V3" s="173" t="s">
        <v>3</v>
      </c>
      <c r="W3" s="175" t="s">
        <v>8</v>
      </c>
      <c r="X3" s="175" t="s">
        <v>9</v>
      </c>
      <c r="Y3" s="175" t="s">
        <v>31</v>
      </c>
      <c r="Z3" s="173" t="s">
        <v>3</v>
      </c>
      <c r="AA3" s="175" t="s">
        <v>8</v>
      </c>
      <c r="AB3" s="175" t="s">
        <v>9</v>
      </c>
      <c r="AC3" s="175" t="s">
        <v>31</v>
      </c>
      <c r="AD3" s="173" t="s">
        <v>3</v>
      </c>
      <c r="AE3" s="175" t="s">
        <v>8</v>
      </c>
      <c r="AF3" s="175" t="s">
        <v>9</v>
      </c>
      <c r="AG3" s="175" t="s">
        <v>31</v>
      </c>
      <c r="AH3" s="173" t="s">
        <v>3</v>
      </c>
      <c r="AI3" s="175" t="s">
        <v>8</v>
      </c>
      <c r="AJ3" s="175" t="s">
        <v>9</v>
      </c>
      <c r="AK3" s="175" t="s">
        <v>31</v>
      </c>
      <c r="AL3" s="173" t="s">
        <v>3</v>
      </c>
      <c r="AM3" s="175" t="s">
        <v>8</v>
      </c>
      <c r="AN3" s="175" t="s">
        <v>9</v>
      </c>
      <c r="AO3" s="175" t="s">
        <v>31</v>
      </c>
      <c r="AP3" s="173" t="s">
        <v>3</v>
      </c>
      <c r="AQ3" s="175" t="s">
        <v>8</v>
      </c>
      <c r="AR3" s="175" t="s">
        <v>9</v>
      </c>
      <c r="AS3" s="175" t="s">
        <v>31</v>
      </c>
      <c r="AT3" s="173" t="s">
        <v>3</v>
      </c>
      <c r="AU3" s="175" t="s">
        <v>8</v>
      </c>
      <c r="AV3" s="175" t="s">
        <v>9</v>
      </c>
      <c r="AW3" s="175" t="s">
        <v>31</v>
      </c>
      <c r="AX3" s="173" t="s">
        <v>3</v>
      </c>
      <c r="AY3" s="175" t="s">
        <v>8</v>
      </c>
      <c r="AZ3" s="175" t="s">
        <v>9</v>
      </c>
      <c r="BA3" s="175" t="s">
        <v>31</v>
      </c>
    </row>
    <row r="4" spans="1:53" x14ac:dyDescent="0.25">
      <c r="A4" s="122" t="s">
        <v>309</v>
      </c>
      <c r="B4" s="20" t="s">
        <v>142</v>
      </c>
      <c r="C4" s="146">
        <v>3360</v>
      </c>
      <c r="D4" s="143">
        <v>3343</v>
      </c>
      <c r="E4" s="143">
        <v>6703</v>
      </c>
      <c r="F4" s="148">
        <v>5.4114493771545282</v>
      </c>
      <c r="G4" s="146">
        <v>2593</v>
      </c>
      <c r="H4" s="143">
        <v>2480</v>
      </c>
      <c r="I4" s="143">
        <v>5073</v>
      </c>
      <c r="J4" s="148">
        <v>4.0955218096829666</v>
      </c>
      <c r="K4" s="143">
        <v>2570</v>
      </c>
      <c r="L4" s="143">
        <v>2436</v>
      </c>
      <c r="M4" s="143">
        <v>5006</v>
      </c>
      <c r="N4" s="148">
        <v>4.0414315354372032</v>
      </c>
      <c r="O4" s="143">
        <v>5261</v>
      </c>
      <c r="P4" s="143">
        <v>4977</v>
      </c>
      <c r="Q4" s="143">
        <v>10238</v>
      </c>
      <c r="R4" s="148">
        <v>8.2653168317630996</v>
      </c>
      <c r="S4" s="143">
        <v>9594</v>
      </c>
      <c r="T4" s="143">
        <v>8482</v>
      </c>
      <c r="U4" s="143">
        <v>18076</v>
      </c>
      <c r="V4" s="148">
        <v>14.593071600991387</v>
      </c>
      <c r="W4" s="143">
        <v>21563</v>
      </c>
      <c r="X4" s="143">
        <v>19285</v>
      </c>
      <c r="Y4" s="143">
        <v>40848</v>
      </c>
      <c r="Z4" s="148">
        <v>32.977306304342562</v>
      </c>
      <c r="AA4" s="143">
        <v>9302</v>
      </c>
      <c r="AB4" s="143">
        <v>9047</v>
      </c>
      <c r="AC4" s="143">
        <v>18349</v>
      </c>
      <c r="AD4" s="148">
        <v>14.813469285604722</v>
      </c>
      <c r="AE4" s="143">
        <v>2465</v>
      </c>
      <c r="AF4" s="143">
        <v>2508</v>
      </c>
      <c r="AG4" s="143">
        <v>4973</v>
      </c>
      <c r="AH4" s="148">
        <v>4.0147900570773487</v>
      </c>
      <c r="AI4" s="143">
        <v>3281</v>
      </c>
      <c r="AJ4" s="143">
        <v>3596</v>
      </c>
      <c r="AK4" s="143">
        <v>6877</v>
      </c>
      <c r="AL4" s="148">
        <v>5.5519226266883024</v>
      </c>
      <c r="AM4" s="143">
        <v>2131</v>
      </c>
      <c r="AN4" s="143">
        <v>2897</v>
      </c>
      <c r="AO4" s="143">
        <v>5028</v>
      </c>
      <c r="AP4" s="148">
        <v>4.0591925210104387</v>
      </c>
      <c r="AQ4" s="143">
        <v>590</v>
      </c>
      <c r="AR4" s="143">
        <v>1092</v>
      </c>
      <c r="AS4" s="143">
        <v>1682</v>
      </c>
      <c r="AT4" s="148">
        <v>1.3579080788264832</v>
      </c>
      <c r="AU4" s="143">
        <v>274</v>
      </c>
      <c r="AV4" s="143">
        <v>740</v>
      </c>
      <c r="AW4" s="143">
        <v>1014</v>
      </c>
      <c r="AX4" s="148">
        <v>0.81861997142095955</v>
      </c>
      <c r="AY4" s="143">
        <v>62984</v>
      </c>
      <c r="AZ4" s="143">
        <v>60883</v>
      </c>
      <c r="BA4" s="143">
        <v>123867</v>
      </c>
    </row>
    <row r="5" spans="1:53" x14ac:dyDescent="0.25">
      <c r="A5" s="122" t="s">
        <v>84</v>
      </c>
      <c r="B5" s="20" t="s">
        <v>143</v>
      </c>
      <c r="C5" s="146">
        <v>2855</v>
      </c>
      <c r="D5" s="143">
        <v>2651</v>
      </c>
      <c r="E5" s="143">
        <v>5506</v>
      </c>
      <c r="F5" s="148">
        <v>6.5689947266696889</v>
      </c>
      <c r="G5" s="146">
        <v>2619</v>
      </c>
      <c r="H5" s="143">
        <v>2397</v>
      </c>
      <c r="I5" s="143">
        <v>5016</v>
      </c>
      <c r="J5" s="148">
        <v>5.9843947600754017</v>
      </c>
      <c r="K5" s="143">
        <v>2495</v>
      </c>
      <c r="L5" s="143">
        <v>2317</v>
      </c>
      <c r="M5" s="143">
        <v>4812</v>
      </c>
      <c r="N5" s="148">
        <v>5.7410102841871673</v>
      </c>
      <c r="O5" s="143">
        <v>2339</v>
      </c>
      <c r="P5" s="143">
        <v>2215</v>
      </c>
      <c r="Q5" s="143">
        <v>4554</v>
      </c>
      <c r="R5" s="148">
        <v>5.43320050585793</v>
      </c>
      <c r="S5" s="143">
        <v>2106</v>
      </c>
      <c r="T5" s="143">
        <v>2004</v>
      </c>
      <c r="U5" s="143">
        <v>4110</v>
      </c>
      <c r="V5" s="148">
        <v>4.9034813524541265</v>
      </c>
      <c r="W5" s="143">
        <v>11476</v>
      </c>
      <c r="X5" s="143">
        <v>11690</v>
      </c>
      <c r="Y5" s="143">
        <v>23166</v>
      </c>
      <c r="Z5" s="148">
        <v>27.638454747190337</v>
      </c>
      <c r="AA5" s="143">
        <v>8373</v>
      </c>
      <c r="AB5" s="143">
        <v>8505</v>
      </c>
      <c r="AC5" s="143">
        <v>16878</v>
      </c>
      <c r="AD5" s="148">
        <v>20.136486196282423</v>
      </c>
      <c r="AE5" s="143">
        <v>2694</v>
      </c>
      <c r="AF5" s="143">
        <v>2775</v>
      </c>
      <c r="AG5" s="143">
        <v>5469</v>
      </c>
      <c r="AH5" s="148">
        <v>6.5248514638860389</v>
      </c>
      <c r="AI5" s="143">
        <v>3727</v>
      </c>
      <c r="AJ5" s="143">
        <v>3813</v>
      </c>
      <c r="AK5" s="143">
        <v>7540</v>
      </c>
      <c r="AL5" s="148">
        <v>8.9956811186141401</v>
      </c>
      <c r="AM5" s="143">
        <v>2129</v>
      </c>
      <c r="AN5" s="143">
        <v>2738</v>
      </c>
      <c r="AO5" s="143">
        <v>4867</v>
      </c>
      <c r="AP5" s="148">
        <v>5.8066286477844855</v>
      </c>
      <c r="AQ5" s="143">
        <v>450</v>
      </c>
      <c r="AR5" s="143">
        <v>794</v>
      </c>
      <c r="AS5" s="143">
        <v>1244</v>
      </c>
      <c r="AT5" s="148">
        <v>1.4841680784557016</v>
      </c>
      <c r="AU5" s="143">
        <v>180</v>
      </c>
      <c r="AV5" s="143">
        <v>476</v>
      </c>
      <c r="AW5" s="143">
        <v>656</v>
      </c>
      <c r="AX5" s="148">
        <v>0.78264811854255656</v>
      </c>
      <c r="AY5" s="143">
        <v>41443</v>
      </c>
      <c r="AZ5" s="143">
        <v>42375</v>
      </c>
      <c r="BA5" s="143">
        <v>83818</v>
      </c>
    </row>
    <row r="6" spans="1:53" x14ac:dyDescent="0.25">
      <c r="A6" s="122" t="s">
        <v>85</v>
      </c>
      <c r="B6" s="20" t="s">
        <v>144</v>
      </c>
      <c r="C6" s="146">
        <v>2678</v>
      </c>
      <c r="D6" s="143">
        <v>2543</v>
      </c>
      <c r="E6" s="146">
        <v>5221</v>
      </c>
      <c r="F6" s="148">
        <v>5.4806743507379654</v>
      </c>
      <c r="G6" s="146">
        <v>2487</v>
      </c>
      <c r="H6" s="143">
        <v>2354</v>
      </c>
      <c r="I6" s="143">
        <v>4841</v>
      </c>
      <c r="J6" s="148">
        <v>5.081774474606874</v>
      </c>
      <c r="K6" s="143">
        <v>2788</v>
      </c>
      <c r="L6" s="143">
        <v>2737</v>
      </c>
      <c r="M6" s="143">
        <v>5525</v>
      </c>
      <c r="N6" s="148">
        <v>5.7997942516428376</v>
      </c>
      <c r="O6" s="143">
        <v>2811</v>
      </c>
      <c r="P6" s="143">
        <v>2797</v>
      </c>
      <c r="Q6" s="143">
        <v>5608</v>
      </c>
      <c r="R6" s="148">
        <v>5.8869223824819965</v>
      </c>
      <c r="S6" s="143">
        <v>2732</v>
      </c>
      <c r="T6" s="143">
        <v>2621</v>
      </c>
      <c r="U6" s="143">
        <v>5353</v>
      </c>
      <c r="V6" s="148">
        <v>5.6192395708677125</v>
      </c>
      <c r="W6" s="143">
        <v>11682</v>
      </c>
      <c r="X6" s="143">
        <v>11765</v>
      </c>
      <c r="Y6" s="143">
        <v>23447</v>
      </c>
      <c r="Z6" s="148">
        <v>24.613172093804454</v>
      </c>
      <c r="AA6" s="143">
        <v>9611</v>
      </c>
      <c r="AB6" s="143">
        <v>9721</v>
      </c>
      <c r="AC6" s="143">
        <v>19332</v>
      </c>
      <c r="AD6" s="148">
        <v>20.293506329911192</v>
      </c>
      <c r="AE6" s="143">
        <v>3233</v>
      </c>
      <c r="AF6" s="143">
        <v>3383</v>
      </c>
      <c r="AG6" s="143">
        <v>6616</v>
      </c>
      <c r="AH6" s="148">
        <v>6.9450567907455225</v>
      </c>
      <c r="AI6" s="143">
        <v>4983</v>
      </c>
      <c r="AJ6" s="143">
        <v>5112</v>
      </c>
      <c r="AK6" s="143">
        <v>10095</v>
      </c>
      <c r="AL6" s="148">
        <v>10.597090130377275</v>
      </c>
      <c r="AM6" s="143">
        <v>2964</v>
      </c>
      <c r="AN6" s="143">
        <v>3734</v>
      </c>
      <c r="AO6" s="143">
        <v>6698</v>
      </c>
      <c r="AP6" s="148">
        <v>7.0311351850685471</v>
      </c>
      <c r="AQ6" s="143">
        <v>631</v>
      </c>
      <c r="AR6" s="143">
        <v>1059</v>
      </c>
      <c r="AS6" s="143">
        <v>1690</v>
      </c>
      <c r="AT6" s="148">
        <v>1.7740547122672208</v>
      </c>
      <c r="AU6" s="143">
        <v>211</v>
      </c>
      <c r="AV6" s="143">
        <v>625</v>
      </c>
      <c r="AW6" s="143">
        <v>836</v>
      </c>
      <c r="AX6" s="148">
        <v>0.87757972748840041</v>
      </c>
      <c r="AY6" s="143">
        <v>46811</v>
      </c>
      <c r="AZ6" s="143">
        <v>48451</v>
      </c>
      <c r="BA6" s="143">
        <v>95262</v>
      </c>
    </row>
    <row r="7" spans="1:53" x14ac:dyDescent="0.25">
      <c r="A7" s="124" t="s">
        <v>86</v>
      </c>
      <c r="B7" s="21" t="s">
        <v>145</v>
      </c>
      <c r="C7" s="146">
        <v>5185</v>
      </c>
      <c r="D7" s="143">
        <v>4913</v>
      </c>
      <c r="E7" s="146">
        <v>10098</v>
      </c>
      <c r="F7" s="148">
        <v>5.9572409561790591</v>
      </c>
      <c r="G7" s="146">
        <v>5071</v>
      </c>
      <c r="H7" s="143">
        <v>4633</v>
      </c>
      <c r="I7" s="143">
        <v>9704</v>
      </c>
      <c r="J7" s="148">
        <v>5.7248035490950286</v>
      </c>
      <c r="K7" s="143">
        <v>5367</v>
      </c>
      <c r="L7" s="143">
        <v>4994</v>
      </c>
      <c r="M7" s="143">
        <v>10361</v>
      </c>
      <c r="N7" s="148">
        <v>6.1123958751209386</v>
      </c>
      <c r="O7" s="143">
        <v>5310</v>
      </c>
      <c r="P7" s="143">
        <v>5008</v>
      </c>
      <c r="Q7" s="143">
        <v>10318</v>
      </c>
      <c r="R7" s="148">
        <v>6.0870283408452703</v>
      </c>
      <c r="S7" s="143">
        <v>4986</v>
      </c>
      <c r="T7" s="143">
        <v>4521</v>
      </c>
      <c r="U7" s="143">
        <v>9507</v>
      </c>
      <c r="V7" s="148">
        <v>5.6085848455530121</v>
      </c>
      <c r="W7" s="143">
        <v>22510</v>
      </c>
      <c r="X7" s="143">
        <v>22637</v>
      </c>
      <c r="Y7" s="143">
        <v>45147</v>
      </c>
      <c r="Z7" s="148">
        <v>26.634141161479103</v>
      </c>
      <c r="AA7" s="143">
        <v>17860</v>
      </c>
      <c r="AB7" s="143">
        <v>17811</v>
      </c>
      <c r="AC7" s="143">
        <v>35671</v>
      </c>
      <c r="AD7" s="148">
        <v>21.043844538310879</v>
      </c>
      <c r="AE7" s="143">
        <v>5660</v>
      </c>
      <c r="AF7" s="143">
        <v>5742</v>
      </c>
      <c r="AG7" s="143">
        <v>11402</v>
      </c>
      <c r="AH7" s="148">
        <v>6.7265261816551432</v>
      </c>
      <c r="AI7" s="143">
        <v>7677</v>
      </c>
      <c r="AJ7" s="143">
        <v>7812</v>
      </c>
      <c r="AK7" s="143">
        <v>15489</v>
      </c>
      <c r="AL7" s="148">
        <v>9.1376218231587885</v>
      </c>
      <c r="AM7" s="143">
        <v>3814</v>
      </c>
      <c r="AN7" s="143">
        <v>4643</v>
      </c>
      <c r="AO7" s="143">
        <v>8457</v>
      </c>
      <c r="AP7" s="148">
        <v>4.9891450551006438</v>
      </c>
      <c r="AQ7" s="143">
        <v>788</v>
      </c>
      <c r="AR7" s="143">
        <v>1398</v>
      </c>
      <c r="AS7" s="143">
        <v>2186</v>
      </c>
      <c r="AT7" s="148">
        <v>1.2896146494560727</v>
      </c>
      <c r="AU7" s="143">
        <v>304</v>
      </c>
      <c r="AV7" s="143">
        <v>864</v>
      </c>
      <c r="AW7" s="143">
        <v>1168</v>
      </c>
      <c r="AX7" s="148">
        <v>0.68905302404606272</v>
      </c>
      <c r="AY7" s="143">
        <v>84532</v>
      </c>
      <c r="AZ7" s="143">
        <v>84976</v>
      </c>
      <c r="BA7" s="143">
        <v>169508</v>
      </c>
    </row>
    <row r="8" spans="1:53" x14ac:dyDescent="0.25">
      <c r="A8" s="119" t="s">
        <v>87</v>
      </c>
      <c r="B8" s="126" t="s">
        <v>146</v>
      </c>
      <c r="C8" s="146">
        <v>4822</v>
      </c>
      <c r="D8" s="143">
        <v>4478</v>
      </c>
      <c r="E8" s="143">
        <v>9300</v>
      </c>
      <c r="F8" s="148">
        <v>6.2518906927498232</v>
      </c>
      <c r="G8" s="146">
        <v>4671</v>
      </c>
      <c r="H8" s="143">
        <v>4390</v>
      </c>
      <c r="I8" s="143">
        <v>9061</v>
      </c>
      <c r="J8" s="148">
        <v>6.0912238244092638</v>
      </c>
      <c r="K8" s="143">
        <v>4644</v>
      </c>
      <c r="L8" s="143">
        <v>4462</v>
      </c>
      <c r="M8" s="143">
        <v>9106</v>
      </c>
      <c r="N8" s="148">
        <v>6.1214749084064399</v>
      </c>
      <c r="O8" s="143">
        <v>4489</v>
      </c>
      <c r="P8" s="143">
        <v>4245</v>
      </c>
      <c r="Q8" s="143">
        <v>8734</v>
      </c>
      <c r="R8" s="148">
        <v>5.8713992806964477</v>
      </c>
      <c r="S8" s="143">
        <v>3826</v>
      </c>
      <c r="T8" s="143">
        <v>3322</v>
      </c>
      <c r="U8" s="143">
        <v>7148</v>
      </c>
      <c r="V8" s="148">
        <v>4.8052166313737352</v>
      </c>
      <c r="W8" s="143">
        <v>19840</v>
      </c>
      <c r="X8" s="143">
        <v>20200</v>
      </c>
      <c r="Y8" s="143">
        <v>40040</v>
      </c>
      <c r="Z8" s="148">
        <v>26.916742294376661</v>
      </c>
      <c r="AA8" s="143">
        <v>15291</v>
      </c>
      <c r="AB8" s="143">
        <v>15617</v>
      </c>
      <c r="AC8" s="143">
        <v>30908</v>
      </c>
      <c r="AD8" s="148">
        <v>20.77778898188296</v>
      </c>
      <c r="AE8" s="143">
        <v>4831</v>
      </c>
      <c r="AF8" s="143">
        <v>4925</v>
      </c>
      <c r="AG8" s="143">
        <v>9756</v>
      </c>
      <c r="AH8" s="148">
        <v>6.5584350105878793</v>
      </c>
      <c r="AI8" s="143">
        <v>6440</v>
      </c>
      <c r="AJ8" s="143">
        <v>6699</v>
      </c>
      <c r="AK8" s="143">
        <v>13139</v>
      </c>
      <c r="AL8" s="148">
        <v>8.8326442808645087</v>
      </c>
      <c r="AM8" s="143">
        <v>3734</v>
      </c>
      <c r="AN8" s="143">
        <v>4432</v>
      </c>
      <c r="AO8" s="143">
        <v>8166</v>
      </c>
      <c r="AP8" s="148">
        <v>5.4895633760209739</v>
      </c>
      <c r="AQ8" s="143">
        <v>846</v>
      </c>
      <c r="AR8" s="143">
        <v>1398</v>
      </c>
      <c r="AS8" s="143">
        <v>2244</v>
      </c>
      <c r="AT8" s="148">
        <v>1.5085207219925381</v>
      </c>
      <c r="AU8" s="143">
        <v>356</v>
      </c>
      <c r="AV8" s="143">
        <v>797</v>
      </c>
      <c r="AW8" s="143">
        <v>1153</v>
      </c>
      <c r="AX8" s="148">
        <v>0.77509999663876838</v>
      </c>
      <c r="AY8" s="143">
        <v>73790</v>
      </c>
      <c r="AZ8" s="143">
        <v>74965</v>
      </c>
      <c r="BA8" s="143">
        <v>148755</v>
      </c>
    </row>
    <row r="9" spans="1:53" x14ac:dyDescent="0.25">
      <c r="A9" s="121" t="s">
        <v>295</v>
      </c>
      <c r="B9" s="6" t="s">
        <v>294</v>
      </c>
      <c r="C9" s="146">
        <v>18900</v>
      </c>
      <c r="D9" s="143">
        <v>17928</v>
      </c>
      <c r="E9" s="143">
        <v>36828</v>
      </c>
      <c r="F9" s="148">
        <v>5.9284299995170713</v>
      </c>
      <c r="G9" s="146">
        <v>17441</v>
      </c>
      <c r="H9" s="143">
        <v>16254</v>
      </c>
      <c r="I9" s="143">
        <v>33695</v>
      </c>
      <c r="J9" s="148">
        <v>5.4240916920204114</v>
      </c>
      <c r="K9" s="143">
        <v>17864</v>
      </c>
      <c r="L9" s="143">
        <v>16946</v>
      </c>
      <c r="M9" s="143">
        <v>34810</v>
      </c>
      <c r="N9" s="148">
        <v>5.6035801097857405</v>
      </c>
      <c r="O9" s="143">
        <v>20210</v>
      </c>
      <c r="P9" s="143">
        <v>19242</v>
      </c>
      <c r="Q9" s="143">
        <v>39452</v>
      </c>
      <c r="R9" s="148">
        <v>6.3508314418634599</v>
      </c>
      <c r="S9" s="143">
        <v>23244</v>
      </c>
      <c r="T9" s="143">
        <v>20950</v>
      </c>
      <c r="U9" s="143">
        <v>44194</v>
      </c>
      <c r="V9" s="148">
        <v>7.1141803898842584</v>
      </c>
      <c r="W9" s="143">
        <v>87071</v>
      </c>
      <c r="X9" s="143">
        <v>85577</v>
      </c>
      <c r="Y9" s="143">
        <v>172648</v>
      </c>
      <c r="Z9" s="148">
        <v>27.79221197340674</v>
      </c>
      <c r="AA9" s="143">
        <v>60437</v>
      </c>
      <c r="AB9" s="143">
        <v>60701</v>
      </c>
      <c r="AC9" s="143">
        <v>121138</v>
      </c>
      <c r="AD9" s="148">
        <v>19.500330001126834</v>
      </c>
      <c r="AE9" s="143">
        <v>18883</v>
      </c>
      <c r="AF9" s="143">
        <v>19333</v>
      </c>
      <c r="AG9" s="143">
        <v>38216</v>
      </c>
      <c r="AH9" s="148">
        <v>6.1518649088070063</v>
      </c>
      <c r="AI9" s="143">
        <v>26108</v>
      </c>
      <c r="AJ9" s="143">
        <v>27032</v>
      </c>
      <c r="AK9" s="143">
        <v>53140</v>
      </c>
      <c r="AL9" s="148">
        <v>8.5542731121520905</v>
      </c>
      <c r="AM9" s="143">
        <v>14772</v>
      </c>
      <c r="AN9" s="143">
        <v>18444</v>
      </c>
      <c r="AO9" s="143">
        <v>33216</v>
      </c>
      <c r="AP9" s="148">
        <v>5.3469841116530645</v>
      </c>
      <c r="AQ9" s="143">
        <v>3305</v>
      </c>
      <c r="AR9" s="143">
        <v>5741</v>
      </c>
      <c r="AS9" s="143">
        <v>9046</v>
      </c>
      <c r="AT9" s="148">
        <v>1.4561903382109109</v>
      </c>
      <c r="AU9" s="143">
        <v>1325</v>
      </c>
      <c r="AV9" s="143">
        <v>3502</v>
      </c>
      <c r="AW9" s="143">
        <v>4827</v>
      </c>
      <c r="AX9" s="148">
        <v>0.77703192157241519</v>
      </c>
      <c r="AY9" s="143">
        <v>309560</v>
      </c>
      <c r="AZ9" s="143">
        <v>311650</v>
      </c>
      <c r="BA9" s="143">
        <v>621210</v>
      </c>
    </row>
    <row r="10" spans="1:53" x14ac:dyDescent="0.25">
      <c r="A10" s="5" t="s">
        <v>297</v>
      </c>
      <c r="B10" s="5" t="s">
        <v>296</v>
      </c>
      <c r="C10" s="143">
        <v>184950</v>
      </c>
      <c r="D10" s="143">
        <v>176319</v>
      </c>
      <c r="E10" s="143">
        <v>361269</v>
      </c>
      <c r="F10" s="148">
        <v>6.1787440150573847</v>
      </c>
      <c r="G10" s="143">
        <v>168706</v>
      </c>
      <c r="H10" s="143">
        <v>159806</v>
      </c>
      <c r="I10" s="143">
        <v>328512</v>
      </c>
      <c r="J10" s="148">
        <v>5.6185046430070988</v>
      </c>
      <c r="K10" s="143">
        <v>177256</v>
      </c>
      <c r="L10" s="143">
        <v>168197</v>
      </c>
      <c r="M10" s="143">
        <v>345453</v>
      </c>
      <c r="N10" s="148">
        <v>5.9082447047314286</v>
      </c>
      <c r="O10" s="143">
        <v>183852</v>
      </c>
      <c r="P10" s="143">
        <v>174845</v>
      </c>
      <c r="Q10" s="143">
        <v>358697</v>
      </c>
      <c r="R10" s="148">
        <v>6.1347553816381666</v>
      </c>
      <c r="S10" s="143">
        <v>180048</v>
      </c>
      <c r="T10" s="143">
        <v>172926</v>
      </c>
      <c r="U10" s="143">
        <v>352974</v>
      </c>
      <c r="V10" s="148">
        <v>6.036875541413365</v>
      </c>
      <c r="W10" s="143">
        <v>767398</v>
      </c>
      <c r="X10" s="143">
        <v>779218</v>
      </c>
      <c r="Y10" s="143">
        <v>1546616</v>
      </c>
      <c r="Z10" s="148">
        <v>26.451603524221539</v>
      </c>
      <c r="AA10" s="143">
        <v>572459</v>
      </c>
      <c r="AB10" s="143">
        <v>584237</v>
      </c>
      <c r="AC10" s="143">
        <v>1156696</v>
      </c>
      <c r="AD10" s="148">
        <v>19.782844603995407</v>
      </c>
      <c r="AE10" s="143">
        <v>181519</v>
      </c>
      <c r="AF10" s="143">
        <v>191047</v>
      </c>
      <c r="AG10" s="143">
        <v>372566</v>
      </c>
      <c r="AH10" s="148">
        <v>6.3719553648773335</v>
      </c>
      <c r="AI10" s="143">
        <v>257024</v>
      </c>
      <c r="AJ10" s="143">
        <v>274369</v>
      </c>
      <c r="AK10" s="143">
        <v>531393</v>
      </c>
      <c r="AL10" s="148">
        <v>9.0883560958548575</v>
      </c>
      <c r="AM10" s="143">
        <v>154938</v>
      </c>
      <c r="AN10" s="143">
        <v>195199</v>
      </c>
      <c r="AO10" s="143">
        <v>350137</v>
      </c>
      <c r="AP10" s="148">
        <v>5.9883546421091971</v>
      </c>
      <c r="AQ10" s="143">
        <v>34143</v>
      </c>
      <c r="AR10" s="143">
        <v>59510</v>
      </c>
      <c r="AS10" s="143">
        <v>93653</v>
      </c>
      <c r="AT10" s="148">
        <v>1.6017369695217947</v>
      </c>
      <c r="AU10" s="143">
        <v>13514</v>
      </c>
      <c r="AV10" s="143">
        <v>35485</v>
      </c>
      <c r="AW10" s="143">
        <v>48999</v>
      </c>
      <c r="AX10" s="148">
        <v>0.83802451357242602</v>
      </c>
      <c r="AY10" s="143">
        <v>2875807</v>
      </c>
      <c r="AZ10" s="143">
        <v>2971158</v>
      </c>
      <c r="BA10" s="143">
        <v>5846965</v>
      </c>
    </row>
    <row r="11" spans="1:53" x14ac:dyDescent="0.25">
      <c r="A11" s="5" t="s">
        <v>299</v>
      </c>
      <c r="B11" s="5" t="s">
        <v>298</v>
      </c>
      <c r="C11" s="143">
        <v>1789744</v>
      </c>
      <c r="D11" s="143">
        <v>1707006</v>
      </c>
      <c r="E11" s="143">
        <v>3496750</v>
      </c>
      <c r="F11" s="148">
        <v>6.2357434329378361</v>
      </c>
      <c r="G11" s="143">
        <v>1604914</v>
      </c>
      <c r="H11" s="143">
        <v>1530797</v>
      </c>
      <c r="I11" s="143">
        <v>3135711</v>
      </c>
      <c r="J11" s="148">
        <v>5.5919037036793986</v>
      </c>
      <c r="K11" s="143">
        <v>1668191</v>
      </c>
      <c r="L11" s="143">
        <v>1590486</v>
      </c>
      <c r="M11" s="143">
        <v>3258677</v>
      </c>
      <c r="N11" s="148">
        <v>5.8111885902096425</v>
      </c>
      <c r="O11" s="143">
        <v>1808009</v>
      </c>
      <c r="P11" s="143">
        <v>1731376</v>
      </c>
      <c r="Q11" s="143">
        <v>3539385</v>
      </c>
      <c r="R11" s="148">
        <v>6.3117742962432777</v>
      </c>
      <c r="S11" s="143">
        <v>1919169</v>
      </c>
      <c r="T11" s="143">
        <v>1888076</v>
      </c>
      <c r="U11" s="143">
        <v>3807245</v>
      </c>
      <c r="V11" s="148">
        <v>6.7894482037135662</v>
      </c>
      <c r="W11" s="143">
        <v>7640606</v>
      </c>
      <c r="X11" s="143">
        <v>7711168</v>
      </c>
      <c r="Y11" s="143">
        <v>15351774</v>
      </c>
      <c r="Z11" s="148">
        <v>27.376770974317814</v>
      </c>
      <c r="AA11" s="143">
        <v>5388575</v>
      </c>
      <c r="AB11" s="143">
        <v>5497560</v>
      </c>
      <c r="AC11" s="143">
        <v>10886135</v>
      </c>
      <c r="AD11" s="148">
        <v>19.413210791828046</v>
      </c>
      <c r="AE11" s="143">
        <v>1658007</v>
      </c>
      <c r="AF11" s="143">
        <v>1719155</v>
      </c>
      <c r="AG11" s="143">
        <v>3377162</v>
      </c>
      <c r="AH11" s="148">
        <v>6.0224825233337267</v>
      </c>
      <c r="AI11" s="143">
        <v>2331538</v>
      </c>
      <c r="AJ11" s="143">
        <v>2521295</v>
      </c>
      <c r="AK11" s="143">
        <v>4852833</v>
      </c>
      <c r="AL11" s="148">
        <v>8.6540420421517172</v>
      </c>
      <c r="AM11" s="143">
        <v>1357235</v>
      </c>
      <c r="AN11" s="143">
        <v>1758317</v>
      </c>
      <c r="AO11" s="143">
        <v>3115552</v>
      </c>
      <c r="AP11" s="148">
        <v>5.5559542214846189</v>
      </c>
      <c r="AQ11" s="143">
        <v>292882</v>
      </c>
      <c r="AR11" s="143">
        <v>532789</v>
      </c>
      <c r="AS11" s="143">
        <v>825671</v>
      </c>
      <c r="AT11" s="148">
        <v>1.4724165342152615</v>
      </c>
      <c r="AU11" s="143">
        <v>114506</v>
      </c>
      <c r="AV11" s="143">
        <v>314511</v>
      </c>
      <c r="AW11" s="143">
        <v>429017</v>
      </c>
      <c r="AX11" s="148">
        <v>0.76506468588509091</v>
      </c>
      <c r="AY11" s="143">
        <v>27573376</v>
      </c>
      <c r="AZ11" s="143">
        <v>28502536</v>
      </c>
      <c r="BA11" s="143">
        <v>56075912</v>
      </c>
    </row>
    <row r="12" spans="1:53" x14ac:dyDescent="0.25">
      <c r="E12" s="15"/>
      <c r="H12" s="15"/>
      <c r="K12" s="15"/>
      <c r="N12" s="15"/>
      <c r="Q12" s="15"/>
      <c r="T12" s="15"/>
      <c r="W12" s="15"/>
      <c r="Z12" s="15"/>
      <c r="AC12" s="15"/>
      <c r="AF12" s="15"/>
      <c r="AI12" s="15"/>
      <c r="AL12" s="15"/>
      <c r="AO12" s="15"/>
      <c r="AR12" s="15"/>
      <c r="AU12" s="15"/>
      <c r="AX12" s="15"/>
      <c r="BA12" s="15"/>
    </row>
    <row r="17" spans="3:10" x14ac:dyDescent="0.25">
      <c r="C17" s="223"/>
      <c r="D17" s="223"/>
      <c r="E17" s="223"/>
      <c r="F17" s="223"/>
      <c r="G17" s="223"/>
      <c r="H17" s="223"/>
      <c r="I17" s="223"/>
      <c r="J17" s="223"/>
    </row>
    <row r="18" spans="3:10" x14ac:dyDescent="0.25">
      <c r="C18" s="223"/>
      <c r="D18" s="223"/>
      <c r="E18" s="223"/>
      <c r="F18" s="223"/>
      <c r="G18" s="223"/>
      <c r="H18" s="223"/>
      <c r="I18" s="223"/>
      <c r="J18" s="223"/>
    </row>
  </sheetData>
  <mergeCells count="15">
    <mergeCell ref="C1:BA1"/>
    <mergeCell ref="C2:F2"/>
    <mergeCell ref="G2:J2"/>
    <mergeCell ref="A1:B2"/>
    <mergeCell ref="AU2:AX2"/>
    <mergeCell ref="AY2:BA2"/>
    <mergeCell ref="AE2:AH2"/>
    <mergeCell ref="W2:Z2"/>
    <mergeCell ref="AA2:AD2"/>
    <mergeCell ref="AQ2:AT2"/>
    <mergeCell ref="AM2:AP2"/>
    <mergeCell ref="AI2:AL2"/>
    <mergeCell ref="K2:N2"/>
    <mergeCell ref="O2:R2"/>
    <mergeCell ref="S2:V2"/>
  </mergeCells>
  <phoneticPr fontId="4" type="noConversion"/>
  <hyperlinks>
    <hyperlink ref="A1:B2" location="'Data by topic'!A1" display="Click here to return to Homepage"/>
  </hyperlinks>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AF19"/>
  <sheetViews>
    <sheetView zoomScaleNormal="100" workbookViewId="0">
      <pane xSplit="2" ySplit="3" topLeftCell="C4" activePane="bottomRight" state="frozen"/>
      <selection pane="topRight" activeCell="C1" sqref="C1"/>
      <selection pane="bottomLeft" activeCell="A4" sqref="A4"/>
      <selection pane="bottomRight" sqref="A1:B2"/>
    </sheetView>
  </sheetViews>
  <sheetFormatPr defaultColWidth="14.6640625" defaultRowHeight="13.2" x14ac:dyDescent="0.25"/>
  <cols>
    <col min="1" max="1" width="14.6640625" customWidth="1"/>
    <col min="2" max="2" width="31.33203125" bestFit="1" customWidth="1"/>
  </cols>
  <sheetData>
    <row r="1" spans="1:32" s="7" customFormat="1" ht="12.75" customHeight="1" x14ac:dyDescent="0.25">
      <c r="A1" s="344" t="s">
        <v>324</v>
      </c>
      <c r="B1" s="345"/>
      <c r="C1" s="342" t="s">
        <v>41</v>
      </c>
      <c r="D1" s="343"/>
      <c r="E1" s="343"/>
      <c r="F1" s="343"/>
      <c r="G1" s="343"/>
      <c r="H1" s="343"/>
      <c r="I1" s="343"/>
      <c r="J1" s="343"/>
      <c r="K1" s="343"/>
      <c r="L1" s="343"/>
      <c r="M1" s="343"/>
      <c r="N1" s="343"/>
      <c r="O1" s="343"/>
      <c r="P1" s="343"/>
      <c r="Q1" s="343"/>
      <c r="R1" s="342" t="s">
        <v>42</v>
      </c>
      <c r="S1" s="343"/>
      <c r="T1" s="343"/>
      <c r="U1" s="343"/>
      <c r="V1" s="343"/>
      <c r="W1" s="343"/>
      <c r="X1" s="343"/>
      <c r="Y1" s="343"/>
      <c r="Z1" s="343"/>
      <c r="AA1" s="343"/>
      <c r="AB1" s="343"/>
      <c r="AC1" s="343"/>
      <c r="AD1" s="343"/>
      <c r="AE1" s="348"/>
    </row>
    <row r="2" spans="1:32" s="8" customFormat="1" ht="38.25" customHeight="1" x14ac:dyDescent="0.25">
      <c r="A2" s="346"/>
      <c r="B2" s="347"/>
      <c r="C2" s="340" t="s">
        <v>43</v>
      </c>
      <c r="D2" s="341"/>
      <c r="E2" s="340" t="s">
        <v>44</v>
      </c>
      <c r="F2" s="349"/>
      <c r="G2" s="349"/>
      <c r="H2" s="349"/>
      <c r="I2" s="349"/>
      <c r="J2" s="341"/>
      <c r="K2" s="350" t="s">
        <v>45</v>
      </c>
      <c r="L2" s="351"/>
      <c r="M2" s="351"/>
      <c r="N2" s="352"/>
      <c r="O2" s="340" t="s">
        <v>62</v>
      </c>
      <c r="P2" s="349"/>
      <c r="Q2" s="349"/>
      <c r="R2" s="353" t="s">
        <v>43</v>
      </c>
      <c r="S2" s="354"/>
      <c r="T2" s="353" t="s">
        <v>44</v>
      </c>
      <c r="U2" s="355"/>
      <c r="V2" s="355"/>
      <c r="W2" s="355"/>
      <c r="X2" s="355"/>
      <c r="Y2" s="354"/>
      <c r="Z2" s="337" t="s">
        <v>45</v>
      </c>
      <c r="AA2" s="338"/>
      <c r="AB2" s="338"/>
      <c r="AC2" s="339"/>
      <c r="AD2" s="340" t="s">
        <v>62</v>
      </c>
      <c r="AE2" s="341"/>
    </row>
    <row r="3" spans="1:32" s="9" customFormat="1" ht="63.75" customHeight="1" x14ac:dyDescent="0.25">
      <c r="A3" s="173" t="s">
        <v>364</v>
      </c>
      <c r="B3" s="173" t="s">
        <v>346</v>
      </c>
      <c r="C3" s="173" t="s">
        <v>109</v>
      </c>
      <c r="D3" s="173" t="s">
        <v>48</v>
      </c>
      <c r="E3" s="173" t="s">
        <v>37</v>
      </c>
      <c r="F3" s="173" t="s">
        <v>38</v>
      </c>
      <c r="G3" s="173" t="s">
        <v>39</v>
      </c>
      <c r="H3" s="173" t="s">
        <v>40</v>
      </c>
      <c r="I3" s="173" t="s">
        <v>88</v>
      </c>
      <c r="J3" s="173" t="s">
        <v>110</v>
      </c>
      <c r="K3" s="173" t="s">
        <v>46</v>
      </c>
      <c r="L3" s="173" t="s">
        <v>47</v>
      </c>
      <c r="M3" s="173" t="s">
        <v>110</v>
      </c>
      <c r="N3" s="185" t="s">
        <v>48</v>
      </c>
      <c r="O3" s="185" t="s">
        <v>49</v>
      </c>
      <c r="P3" s="173" t="s">
        <v>90</v>
      </c>
      <c r="Q3" s="173" t="s">
        <v>89</v>
      </c>
      <c r="R3" s="177" t="s">
        <v>109</v>
      </c>
      <c r="S3" s="177" t="s">
        <v>48</v>
      </c>
      <c r="T3" s="177" t="s">
        <v>37</v>
      </c>
      <c r="U3" s="177" t="s">
        <v>38</v>
      </c>
      <c r="V3" s="177" t="s">
        <v>39</v>
      </c>
      <c r="W3" s="183" t="s">
        <v>40</v>
      </c>
      <c r="X3" s="177" t="s">
        <v>88</v>
      </c>
      <c r="Y3" s="177" t="s">
        <v>110</v>
      </c>
      <c r="Z3" s="184" t="s">
        <v>46</v>
      </c>
      <c r="AA3" s="177" t="s">
        <v>47</v>
      </c>
      <c r="AB3" s="177" t="s">
        <v>110</v>
      </c>
      <c r="AC3" s="186" t="s">
        <v>48</v>
      </c>
      <c r="AD3" s="177" t="s">
        <v>90</v>
      </c>
      <c r="AE3" s="177" t="s">
        <v>89</v>
      </c>
    </row>
    <row r="4" spans="1:32" s="7" customFormat="1" x14ac:dyDescent="0.25">
      <c r="A4" s="122" t="s">
        <v>309</v>
      </c>
      <c r="B4" s="20" t="s">
        <v>142</v>
      </c>
      <c r="C4" s="7">
        <v>5194</v>
      </c>
      <c r="D4" s="7">
        <v>10654</v>
      </c>
      <c r="E4" s="7">
        <v>8191</v>
      </c>
      <c r="F4" s="7">
        <v>8116</v>
      </c>
      <c r="G4" s="7">
        <v>1835</v>
      </c>
      <c r="H4" s="7">
        <v>1977</v>
      </c>
      <c r="I4" s="7">
        <v>1235</v>
      </c>
      <c r="J4" s="7">
        <v>2671</v>
      </c>
      <c r="K4" s="7">
        <v>1149</v>
      </c>
      <c r="L4" s="7">
        <v>1097</v>
      </c>
      <c r="M4" s="7">
        <v>107</v>
      </c>
      <c r="N4" s="7">
        <v>4488</v>
      </c>
      <c r="O4" s="7">
        <v>46714</v>
      </c>
      <c r="P4" s="7">
        <v>13076</v>
      </c>
      <c r="Q4" s="7">
        <v>1255</v>
      </c>
      <c r="R4" s="130">
        <v>11.11872243866935</v>
      </c>
      <c r="S4" s="130">
        <v>22.80686732028942</v>
      </c>
      <c r="T4" s="130">
        <v>17.534358008305862</v>
      </c>
      <c r="U4" s="130">
        <v>17.373806567624268</v>
      </c>
      <c r="V4" s="130">
        <v>3.9281585820096763</v>
      </c>
      <c r="W4" s="130">
        <v>4.2321359763668278</v>
      </c>
      <c r="X4" s="130">
        <v>2.6437470565569208</v>
      </c>
      <c r="Y4" s="130">
        <v>5.7177719741405149</v>
      </c>
      <c r="Z4" s="130">
        <v>2.4596480712420257</v>
      </c>
      <c r="AA4" s="130">
        <v>2.348332405702787</v>
      </c>
      <c r="AB4" s="130">
        <v>0.22905338870574132</v>
      </c>
      <c r="AC4" s="130">
        <v>9.6073982103866093</v>
      </c>
      <c r="AD4" s="130">
        <v>27.991608511367044</v>
      </c>
      <c r="AE4" s="130">
        <v>2.6865607740720128</v>
      </c>
      <c r="AF4" s="130"/>
    </row>
    <row r="5" spans="1:32" s="7" customFormat="1" x14ac:dyDescent="0.25">
      <c r="A5" s="122" t="s">
        <v>84</v>
      </c>
      <c r="B5" s="20" t="s">
        <v>143</v>
      </c>
      <c r="C5" s="7">
        <v>4117</v>
      </c>
      <c r="D5" s="7">
        <v>4776</v>
      </c>
      <c r="E5" s="7">
        <v>7839</v>
      </c>
      <c r="F5" s="7">
        <v>8254</v>
      </c>
      <c r="G5" s="7">
        <v>2192</v>
      </c>
      <c r="H5" s="7">
        <v>1464</v>
      </c>
      <c r="I5" s="7">
        <v>826</v>
      </c>
      <c r="J5" s="7">
        <v>3296</v>
      </c>
      <c r="K5" s="7">
        <v>694</v>
      </c>
      <c r="L5" s="7">
        <v>2</v>
      </c>
      <c r="M5" s="7">
        <v>96</v>
      </c>
      <c r="N5" s="7">
        <v>1058</v>
      </c>
      <c r="O5" s="7">
        <v>34614</v>
      </c>
      <c r="P5" s="7">
        <v>9518</v>
      </c>
      <c r="Q5" s="7">
        <v>704</v>
      </c>
      <c r="R5" s="130">
        <v>11.894031316808228</v>
      </c>
      <c r="S5" s="130">
        <v>13.797885248743283</v>
      </c>
      <c r="T5" s="130">
        <v>22.646905876235049</v>
      </c>
      <c r="U5" s="130">
        <v>23.845842722597794</v>
      </c>
      <c r="V5" s="130">
        <v>6.3326977523545382</v>
      </c>
      <c r="W5" s="130">
        <v>4.2295025134338706</v>
      </c>
      <c r="X5" s="130">
        <v>2.3863176749292192</v>
      </c>
      <c r="Y5" s="130">
        <v>9.5221586641243423</v>
      </c>
      <c r="Z5" s="130">
        <v>2.0049690876523951</v>
      </c>
      <c r="AA5" s="130">
        <v>5.7780088981337031E-3</v>
      </c>
      <c r="AB5" s="130">
        <v>0.27734442711041779</v>
      </c>
      <c r="AC5" s="130">
        <v>3.0565667071127289</v>
      </c>
      <c r="AD5" s="130">
        <v>27.497544346218294</v>
      </c>
      <c r="AE5" s="130">
        <v>2.0338591321430637</v>
      </c>
      <c r="AF5" s="130"/>
    </row>
    <row r="6" spans="1:32" s="7" customFormat="1" x14ac:dyDescent="0.25">
      <c r="A6" s="122" t="s">
        <v>85</v>
      </c>
      <c r="B6" s="20" t="s">
        <v>144</v>
      </c>
      <c r="C6" s="7">
        <v>5809</v>
      </c>
      <c r="D6" s="7">
        <v>5767</v>
      </c>
      <c r="E6" s="7">
        <v>8442</v>
      </c>
      <c r="F6" s="7">
        <v>7460</v>
      </c>
      <c r="G6" s="7">
        <v>2466</v>
      </c>
      <c r="H6" s="7">
        <v>2591</v>
      </c>
      <c r="I6" s="7">
        <v>1136</v>
      </c>
      <c r="J6" s="7">
        <v>4365</v>
      </c>
      <c r="K6" s="7">
        <v>1011</v>
      </c>
      <c r="L6" s="7">
        <v>1</v>
      </c>
      <c r="M6" s="7">
        <v>137</v>
      </c>
      <c r="N6" s="7">
        <v>1435</v>
      </c>
      <c r="O6" s="7">
        <v>40620</v>
      </c>
      <c r="P6" s="7">
        <v>15052</v>
      </c>
      <c r="Q6" s="7">
        <v>1552</v>
      </c>
      <c r="R6" s="130">
        <v>14.30083702609552</v>
      </c>
      <c r="S6" s="130">
        <v>14.197439684884294</v>
      </c>
      <c r="T6" s="130">
        <v>20.782865583456424</v>
      </c>
      <c r="U6" s="130">
        <v>18.365337272279668</v>
      </c>
      <c r="V6" s="130">
        <v>6.0709010339734126</v>
      </c>
      <c r="W6" s="130">
        <v>6.3786312161496799</v>
      </c>
      <c r="X6" s="130">
        <v>2.7966518956179223</v>
      </c>
      <c r="Y6" s="130">
        <v>10.745937961595272</v>
      </c>
      <c r="Z6" s="130">
        <v>2.4889217134416541</v>
      </c>
      <c r="AA6" s="130">
        <v>2.461841457410143E-3</v>
      </c>
      <c r="AB6" s="130">
        <v>0.33727227966518958</v>
      </c>
      <c r="AC6" s="130">
        <v>3.532742491383555</v>
      </c>
      <c r="AD6" s="130">
        <v>37.055637616937467</v>
      </c>
      <c r="AE6" s="130">
        <v>3.8207779419005417</v>
      </c>
      <c r="AF6" s="130"/>
    </row>
    <row r="7" spans="1:32" s="7" customFormat="1" x14ac:dyDescent="0.25">
      <c r="A7" s="124" t="s">
        <v>86</v>
      </c>
      <c r="B7" s="21" t="s">
        <v>145</v>
      </c>
      <c r="C7" s="7">
        <v>7389</v>
      </c>
      <c r="D7" s="7">
        <v>10302</v>
      </c>
      <c r="E7" s="7">
        <v>15353</v>
      </c>
      <c r="F7" s="7">
        <v>15846</v>
      </c>
      <c r="G7" s="7">
        <v>4432</v>
      </c>
      <c r="H7" s="7">
        <v>3681</v>
      </c>
      <c r="I7" s="7">
        <v>1931</v>
      </c>
      <c r="J7" s="7">
        <v>6396</v>
      </c>
      <c r="K7" s="7">
        <v>1398</v>
      </c>
      <c r="L7" s="7">
        <v>13</v>
      </c>
      <c r="M7" s="7">
        <v>168</v>
      </c>
      <c r="N7" s="7">
        <v>2424</v>
      </c>
      <c r="O7" s="7">
        <v>69333</v>
      </c>
      <c r="P7" s="7">
        <v>19059</v>
      </c>
      <c r="Q7" s="7">
        <v>1708</v>
      </c>
      <c r="R7" s="130">
        <v>10.657262775301804</v>
      </c>
      <c r="S7" s="130">
        <v>14.858725282333088</v>
      </c>
      <c r="T7" s="130">
        <v>22.143856460848369</v>
      </c>
      <c r="U7" s="130">
        <v>22.854917571719096</v>
      </c>
      <c r="V7" s="130">
        <v>6.392338424703965</v>
      </c>
      <c r="W7" s="130">
        <v>5.309160140192982</v>
      </c>
      <c r="X7" s="130">
        <v>2.7851095437958837</v>
      </c>
      <c r="Y7" s="130">
        <v>9.2250443511747662</v>
      </c>
      <c r="Z7" s="130">
        <v>2.0163558478646531</v>
      </c>
      <c r="AA7" s="130">
        <v>1.8750090144664156E-2</v>
      </c>
      <c r="AB7" s="130">
        <v>0.24230885725412141</v>
      </c>
      <c r="AC7" s="130">
        <v>3.4961706546666091</v>
      </c>
      <c r="AD7" s="130">
        <v>27.489074466704167</v>
      </c>
      <c r="AE7" s="130">
        <v>2.4634733820835675</v>
      </c>
      <c r="AF7" s="130"/>
    </row>
    <row r="8" spans="1:32" s="7" customFormat="1" x14ac:dyDescent="0.25">
      <c r="A8" s="119" t="s">
        <v>87</v>
      </c>
      <c r="B8" s="126" t="s">
        <v>146</v>
      </c>
      <c r="C8" s="7">
        <v>6899</v>
      </c>
      <c r="D8" s="7">
        <v>7873</v>
      </c>
      <c r="E8" s="7">
        <v>13196</v>
      </c>
      <c r="F8" s="7">
        <v>15037</v>
      </c>
      <c r="G8" s="7">
        <v>3723</v>
      </c>
      <c r="H8" s="7">
        <v>2545</v>
      </c>
      <c r="I8" s="7">
        <v>1547</v>
      </c>
      <c r="J8" s="7">
        <v>5818</v>
      </c>
      <c r="K8" s="7">
        <v>1103</v>
      </c>
      <c r="L8" s="7">
        <v>34</v>
      </c>
      <c r="M8" s="7">
        <v>153</v>
      </c>
      <c r="N8" s="7">
        <v>2032</v>
      </c>
      <c r="O8" s="7">
        <v>59960</v>
      </c>
      <c r="P8" s="7">
        <v>15620</v>
      </c>
      <c r="Q8" s="7">
        <v>945</v>
      </c>
      <c r="R8" s="130">
        <v>11.506004002668446</v>
      </c>
      <c r="S8" s="130">
        <v>13.130420280186792</v>
      </c>
      <c r="T8" s="130">
        <v>22.008005336891262</v>
      </c>
      <c r="U8" s="130">
        <v>25.078385590393598</v>
      </c>
      <c r="V8" s="130">
        <v>6.2091394262841897</v>
      </c>
      <c r="W8" s="130">
        <v>4.2444963308872579</v>
      </c>
      <c r="X8" s="130">
        <v>2.5800533689126084</v>
      </c>
      <c r="Y8" s="130">
        <v>9.7031354236157448</v>
      </c>
      <c r="Z8" s="130">
        <v>1.8395597064709808</v>
      </c>
      <c r="AA8" s="130">
        <v>5.6704469646430958E-2</v>
      </c>
      <c r="AB8" s="130">
        <v>0.2551701134089393</v>
      </c>
      <c r="AC8" s="130">
        <v>3.3889259506337561</v>
      </c>
      <c r="AD8" s="130">
        <v>26.050700466977982</v>
      </c>
      <c r="AE8" s="130">
        <v>1.5760507004669779</v>
      </c>
      <c r="AF8" s="130"/>
    </row>
    <row r="9" spans="1:32" x14ac:dyDescent="0.25">
      <c r="A9" s="121" t="s">
        <v>295</v>
      </c>
      <c r="B9" s="6" t="s">
        <v>294</v>
      </c>
      <c r="C9" s="125">
        <v>29408</v>
      </c>
      <c r="D9" s="125">
        <v>39372</v>
      </c>
      <c r="E9" s="125">
        <v>53021</v>
      </c>
      <c r="F9" s="125">
        <v>54713</v>
      </c>
      <c r="G9" s="7">
        <v>14648</v>
      </c>
      <c r="H9" s="7">
        <v>12258</v>
      </c>
      <c r="I9" s="7">
        <v>6675</v>
      </c>
      <c r="J9" s="7">
        <v>22546</v>
      </c>
      <c r="K9" s="7">
        <v>5355</v>
      </c>
      <c r="L9" s="7">
        <v>1147</v>
      </c>
      <c r="M9" s="7">
        <v>661</v>
      </c>
      <c r="N9" s="7">
        <v>11437</v>
      </c>
      <c r="O9" s="7">
        <v>251241</v>
      </c>
      <c r="P9" s="7">
        <v>72325</v>
      </c>
      <c r="Q9" s="7">
        <v>6164</v>
      </c>
      <c r="R9" s="130">
        <v>11.705095903932877</v>
      </c>
      <c r="S9" s="130">
        <v>15.671009110774117</v>
      </c>
      <c r="T9" s="130">
        <v>21.103641523477457</v>
      </c>
      <c r="U9" s="130">
        <v>21.777098483129745</v>
      </c>
      <c r="V9" s="130">
        <v>5.8302585963278286</v>
      </c>
      <c r="W9" s="130">
        <v>4.8789807396085827</v>
      </c>
      <c r="X9" s="130">
        <v>2.6568115872807385</v>
      </c>
      <c r="Y9" s="130">
        <v>8.9738537897874942</v>
      </c>
      <c r="Z9" s="130">
        <v>2.1314196329420754</v>
      </c>
      <c r="AA9" s="130">
        <v>0.45653376638367149</v>
      </c>
      <c r="AB9" s="130">
        <v>0.26309400137716377</v>
      </c>
      <c r="AC9" s="130">
        <v>4.5522028649782476</v>
      </c>
      <c r="AD9" s="130">
        <v>28.787100831472571</v>
      </c>
      <c r="AE9" s="130">
        <v>2.4534212170784229</v>
      </c>
      <c r="AF9" s="130"/>
    </row>
    <row r="10" spans="1:32" x14ac:dyDescent="0.25">
      <c r="A10" s="5" t="s">
        <v>297</v>
      </c>
      <c r="B10" s="5" t="s">
        <v>296</v>
      </c>
      <c r="C10" s="132">
        <v>306941</v>
      </c>
      <c r="D10" s="132">
        <v>382769</v>
      </c>
      <c r="E10" s="129">
        <v>459472</v>
      </c>
      <c r="F10" s="125">
        <v>507915</v>
      </c>
      <c r="G10" s="7">
        <v>154334</v>
      </c>
      <c r="H10" s="7">
        <v>150707</v>
      </c>
      <c r="I10" s="7">
        <v>76941</v>
      </c>
      <c r="J10" s="7">
        <v>226812</v>
      </c>
      <c r="K10" s="7">
        <v>53987</v>
      </c>
      <c r="L10" s="7">
        <v>6802</v>
      </c>
      <c r="M10" s="7">
        <v>6901</v>
      </c>
      <c r="N10" s="7">
        <v>89454</v>
      </c>
      <c r="O10" s="7">
        <v>2423035</v>
      </c>
      <c r="P10" s="7">
        <v>776892</v>
      </c>
      <c r="Q10" s="7">
        <v>81461</v>
      </c>
      <c r="R10" s="130">
        <v>12.667625519235173</v>
      </c>
      <c r="S10" s="130">
        <v>15.797089187733565</v>
      </c>
      <c r="T10" s="130">
        <v>18.962664592133418</v>
      </c>
      <c r="U10" s="130">
        <v>20.961934103304326</v>
      </c>
      <c r="V10" s="130">
        <v>6.3694498841329157</v>
      </c>
      <c r="W10" s="130">
        <v>6.2197615800019399</v>
      </c>
      <c r="X10" s="130">
        <v>3.1753977965650515</v>
      </c>
      <c r="Y10" s="130">
        <v>9.3606571923228508</v>
      </c>
      <c r="Z10" s="130">
        <v>2.2280734698425735</v>
      </c>
      <c r="AA10" s="130">
        <v>0.28072231725913988</v>
      </c>
      <c r="AB10" s="130">
        <v>0.28480810223541964</v>
      </c>
      <c r="AC10" s="130">
        <v>3.6918162552336224</v>
      </c>
      <c r="AD10" s="130">
        <v>32.06276426052451</v>
      </c>
      <c r="AE10" s="130">
        <v>3.3619407065931779</v>
      </c>
      <c r="AF10" s="130"/>
    </row>
    <row r="11" spans="1:32" x14ac:dyDescent="0.25">
      <c r="A11" s="5" t="s">
        <v>299</v>
      </c>
      <c r="B11" s="5" t="s">
        <v>298</v>
      </c>
      <c r="C11" s="129">
        <v>2725596</v>
      </c>
      <c r="D11" s="132">
        <v>3940897</v>
      </c>
      <c r="E11" s="132">
        <v>4116716</v>
      </c>
      <c r="F11" s="125">
        <v>4506794</v>
      </c>
      <c r="G11" s="7">
        <v>1431979</v>
      </c>
      <c r="H11" s="7">
        <v>1671396</v>
      </c>
      <c r="I11" s="7">
        <v>816368</v>
      </c>
      <c r="J11" s="7">
        <v>1905393</v>
      </c>
      <c r="K11" s="7">
        <v>612625</v>
      </c>
      <c r="L11" s="7">
        <v>132352</v>
      </c>
      <c r="M11" s="7">
        <v>66167</v>
      </c>
      <c r="N11" s="7">
        <v>1038993</v>
      </c>
      <c r="O11" s="7">
        <v>23366044</v>
      </c>
      <c r="P11" s="7">
        <v>7844358</v>
      </c>
      <c r="Q11" s="7">
        <v>982464</v>
      </c>
      <c r="R11" s="130">
        <v>11.664773035606713</v>
      </c>
      <c r="S11" s="130">
        <v>16.865914486851093</v>
      </c>
      <c r="T11" s="130">
        <v>17.618369630734239</v>
      </c>
      <c r="U11" s="130">
        <v>19.287792148298617</v>
      </c>
      <c r="V11" s="130">
        <v>6.1284614545791323</v>
      </c>
      <c r="W11" s="130">
        <v>7.1530978885428782</v>
      </c>
      <c r="X11" s="130">
        <v>3.4938220607647579</v>
      </c>
      <c r="Y11" s="130">
        <v>8.1545382692936812</v>
      </c>
      <c r="Z11" s="130">
        <v>2.6218601659741805</v>
      </c>
      <c r="AA11" s="130">
        <v>0.56642878871579627</v>
      </c>
      <c r="AB11" s="130">
        <v>0.28317587692636376</v>
      </c>
      <c r="AC11" s="130">
        <v>4.4465935269145263</v>
      </c>
      <c r="AD11" s="130">
        <v>33.571613577377498</v>
      </c>
      <c r="AE11" s="130">
        <v>4.2046655394468999</v>
      </c>
      <c r="AF11" s="130"/>
    </row>
    <row r="12" spans="1:32" x14ac:dyDescent="0.25">
      <c r="AD12" s="64"/>
      <c r="AE12" s="2"/>
    </row>
    <row r="13" spans="1:32" x14ac:dyDescent="0.25">
      <c r="AD13" s="64"/>
      <c r="AE13" s="2"/>
    </row>
    <row r="14" spans="1:32" x14ac:dyDescent="0.25">
      <c r="AD14" s="64"/>
      <c r="AE14" s="2"/>
    </row>
    <row r="15" spans="1:32" x14ac:dyDescent="0.25">
      <c r="AD15" s="64"/>
      <c r="AE15" s="2"/>
    </row>
    <row r="16" spans="1:32" x14ac:dyDescent="0.25">
      <c r="AD16" s="64"/>
      <c r="AE16" s="2"/>
    </row>
    <row r="17" spans="5:31" x14ac:dyDescent="0.25">
      <c r="AD17" s="64"/>
      <c r="AE17" s="2"/>
    </row>
    <row r="18" spans="5:31" x14ac:dyDescent="0.25">
      <c r="AD18" s="64"/>
      <c r="AE18" s="2"/>
    </row>
    <row r="19" spans="5:31" x14ac:dyDescent="0.25">
      <c r="E19" s="7"/>
      <c r="F19" s="7"/>
      <c r="G19" s="7"/>
      <c r="H19" s="7"/>
      <c r="I19" s="7"/>
      <c r="J19" s="7"/>
      <c r="K19" s="7"/>
      <c r="AD19" s="64"/>
      <c r="AE19" s="2"/>
    </row>
  </sheetData>
  <mergeCells count="11">
    <mergeCell ref="Z2:AC2"/>
    <mergeCell ref="AD2:AE2"/>
    <mergeCell ref="C1:Q1"/>
    <mergeCell ref="C2:D2"/>
    <mergeCell ref="A1:B2"/>
    <mergeCell ref="R1:AE1"/>
    <mergeCell ref="E2:J2"/>
    <mergeCell ref="K2:N2"/>
    <mergeCell ref="O2:Q2"/>
    <mergeCell ref="R2:S2"/>
    <mergeCell ref="T2:Y2"/>
  </mergeCells>
  <phoneticPr fontId="4" type="noConversion"/>
  <hyperlinks>
    <hyperlink ref="A1:A2" location="Front!A1" display="Click here to return to homepage"/>
    <hyperlink ref="A1:B2" location="'Data by topic'!A1" display="Click here to return to homepage"/>
  </hyperlinks>
  <pageMargins left="0.75" right="0.75" top="1" bottom="1" header="0.5" footer="0.5"/>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CE17"/>
  <sheetViews>
    <sheetView workbookViewId="0">
      <pane xSplit="2" ySplit="3" topLeftCell="C4" activePane="bottomRight" state="frozen"/>
      <selection pane="topRight" activeCell="C1" sqref="C1"/>
      <selection pane="bottomLeft" activeCell="A4" sqref="A4"/>
      <selection pane="bottomRight" sqref="A1:B2"/>
    </sheetView>
  </sheetViews>
  <sheetFormatPr defaultColWidth="14.6640625" defaultRowHeight="13.2" x14ac:dyDescent="0.25"/>
  <cols>
    <col min="1" max="1" width="14.6640625" customWidth="1"/>
    <col min="2" max="2" width="31.33203125" bestFit="1" customWidth="1"/>
    <col min="3" max="5" width="12" customWidth="1"/>
    <col min="6" max="6" width="12" style="64" customWidth="1"/>
    <col min="7" max="9" width="12" customWidth="1"/>
    <col min="10" max="10" width="12" style="64" customWidth="1"/>
    <col min="11" max="13" width="12" customWidth="1"/>
    <col min="14" max="14" width="12" style="64" customWidth="1"/>
    <col min="15" max="17" width="12" customWidth="1"/>
    <col min="18" max="18" width="12" style="64" customWidth="1"/>
    <col min="19" max="21" width="12" customWidth="1"/>
    <col min="22" max="22" width="12" style="64" customWidth="1"/>
    <col min="23" max="25" width="12" customWidth="1"/>
    <col min="26" max="26" width="12" style="64" customWidth="1"/>
    <col min="27" max="29" width="12" customWidth="1"/>
    <col min="30" max="30" width="12" style="64" customWidth="1"/>
    <col min="31" max="33" width="12" customWidth="1"/>
    <col min="34" max="34" width="12" style="64" customWidth="1"/>
    <col min="35" max="38" width="12" style="2" customWidth="1"/>
    <col min="39" max="39" width="12" customWidth="1"/>
    <col min="40" max="40" width="12" style="64" customWidth="1"/>
    <col min="41" max="43" width="12" customWidth="1"/>
    <col min="44" max="44" width="12" style="64" customWidth="1"/>
    <col min="45" max="47" width="12" customWidth="1"/>
    <col min="48" max="48" width="12" style="64" customWidth="1"/>
    <col min="49" max="51" width="12" customWidth="1"/>
    <col min="52" max="52" width="12" style="64" customWidth="1"/>
    <col min="53" max="55" width="12" customWidth="1"/>
    <col min="56" max="56" width="12" style="64" customWidth="1"/>
    <col min="57" max="61" width="12" customWidth="1"/>
    <col min="62" max="62" width="12" style="64" customWidth="1"/>
    <col min="63" max="65" width="12" customWidth="1"/>
    <col min="66" max="66" width="12" style="64" customWidth="1"/>
    <col min="67" max="69" width="12" customWidth="1"/>
    <col min="70" max="70" width="12" style="64" customWidth="1"/>
    <col min="71" max="75" width="12" customWidth="1"/>
    <col min="76" max="76" width="12" style="64" customWidth="1"/>
    <col min="77" max="83" width="12" customWidth="1"/>
  </cols>
  <sheetData>
    <row r="1" spans="1:83" s="6" customFormat="1" ht="12.75" customHeight="1" x14ac:dyDescent="0.25">
      <c r="A1" s="356" t="s">
        <v>323</v>
      </c>
      <c r="B1" s="357"/>
      <c r="C1" s="360" t="s">
        <v>20</v>
      </c>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row>
    <row r="2" spans="1:83" s="4" customFormat="1" ht="38.25" customHeight="1" x14ac:dyDescent="0.25">
      <c r="A2" s="358"/>
      <c r="B2" s="333"/>
      <c r="C2" s="359" t="s">
        <v>21</v>
      </c>
      <c r="D2" s="359"/>
      <c r="E2" s="359"/>
      <c r="F2" s="359"/>
      <c r="G2" s="359" t="s">
        <v>22</v>
      </c>
      <c r="H2" s="359"/>
      <c r="I2" s="359"/>
      <c r="J2" s="359"/>
      <c r="K2" s="359" t="s">
        <v>92</v>
      </c>
      <c r="L2" s="359"/>
      <c r="M2" s="359"/>
      <c r="N2" s="359"/>
      <c r="O2" s="359" t="s">
        <v>93</v>
      </c>
      <c r="P2" s="359"/>
      <c r="Q2" s="359"/>
      <c r="R2" s="359"/>
      <c r="S2" s="361" t="s">
        <v>23</v>
      </c>
      <c r="T2" s="361"/>
      <c r="U2" s="361"/>
      <c r="V2" s="361"/>
      <c r="W2" s="361" t="s">
        <v>24</v>
      </c>
      <c r="X2" s="361"/>
      <c r="Y2" s="361"/>
      <c r="Z2" s="361"/>
      <c r="AA2" s="361" t="s">
        <v>25</v>
      </c>
      <c r="AB2" s="361"/>
      <c r="AC2" s="361"/>
      <c r="AD2" s="361"/>
      <c r="AE2" s="361" t="s">
        <v>26</v>
      </c>
      <c r="AF2" s="361"/>
      <c r="AG2" s="361"/>
      <c r="AH2" s="361"/>
      <c r="AI2" s="361" t="s">
        <v>301</v>
      </c>
      <c r="AJ2" s="361"/>
      <c r="AK2" s="361" t="s">
        <v>27</v>
      </c>
      <c r="AL2" s="361"/>
      <c r="AM2" s="361"/>
      <c r="AN2" s="361"/>
      <c r="AO2" s="361" t="s">
        <v>28</v>
      </c>
      <c r="AP2" s="361"/>
      <c r="AQ2" s="361"/>
      <c r="AR2" s="361"/>
      <c r="AS2" s="361" t="s">
        <v>29</v>
      </c>
      <c r="AT2" s="361"/>
      <c r="AU2" s="361"/>
      <c r="AV2" s="361"/>
      <c r="AW2" s="361" t="s">
        <v>94</v>
      </c>
      <c r="AX2" s="361"/>
      <c r="AY2" s="361"/>
      <c r="AZ2" s="361"/>
      <c r="BA2" s="361" t="s">
        <v>30</v>
      </c>
      <c r="BB2" s="361"/>
      <c r="BC2" s="361"/>
      <c r="BD2" s="361"/>
      <c r="BE2" s="361" t="s">
        <v>302</v>
      </c>
      <c r="BF2" s="361"/>
      <c r="BG2" s="361" t="s">
        <v>95</v>
      </c>
      <c r="BH2" s="361"/>
      <c r="BI2" s="361"/>
      <c r="BJ2" s="361"/>
      <c r="BK2" s="361" t="s">
        <v>96</v>
      </c>
      <c r="BL2" s="361"/>
      <c r="BM2" s="361"/>
      <c r="BN2" s="361"/>
      <c r="BO2" s="361" t="s">
        <v>97</v>
      </c>
      <c r="BP2" s="361"/>
      <c r="BQ2" s="361"/>
      <c r="BR2" s="361"/>
      <c r="BS2" s="361" t="s">
        <v>303</v>
      </c>
      <c r="BT2" s="361"/>
      <c r="BU2" s="350" t="s">
        <v>376</v>
      </c>
      <c r="BV2" s="351"/>
      <c r="BW2" s="351"/>
      <c r="BX2" s="351"/>
      <c r="BY2" s="361" t="s">
        <v>6</v>
      </c>
      <c r="BZ2" s="361"/>
      <c r="CA2" s="361"/>
      <c r="CB2" s="361"/>
      <c r="CC2" s="361"/>
      <c r="CD2" s="361"/>
      <c r="CE2" s="361"/>
    </row>
    <row r="3" spans="1:83" s="24" customFormat="1" ht="59.25" customHeight="1" x14ac:dyDescent="0.25">
      <c r="A3" s="173" t="s">
        <v>364</v>
      </c>
      <c r="B3" s="173" t="s">
        <v>346</v>
      </c>
      <c r="C3" s="176" t="s">
        <v>8</v>
      </c>
      <c r="D3" s="176" t="s">
        <v>9</v>
      </c>
      <c r="E3" s="176" t="s">
        <v>31</v>
      </c>
      <c r="F3" s="177" t="s">
        <v>3</v>
      </c>
      <c r="G3" s="176" t="s">
        <v>8</v>
      </c>
      <c r="H3" s="176" t="s">
        <v>9</v>
      </c>
      <c r="I3" s="176" t="s">
        <v>31</v>
      </c>
      <c r="J3" s="177" t="s">
        <v>3</v>
      </c>
      <c r="K3" s="176" t="s">
        <v>8</v>
      </c>
      <c r="L3" s="176" t="s">
        <v>9</v>
      </c>
      <c r="M3" s="176" t="s">
        <v>31</v>
      </c>
      <c r="N3" s="177" t="s">
        <v>3</v>
      </c>
      <c r="O3" s="176" t="s">
        <v>8</v>
      </c>
      <c r="P3" s="176" t="s">
        <v>9</v>
      </c>
      <c r="Q3" s="176" t="s">
        <v>31</v>
      </c>
      <c r="R3" s="177" t="s">
        <v>3</v>
      </c>
      <c r="S3" s="176" t="s">
        <v>8</v>
      </c>
      <c r="T3" s="176" t="s">
        <v>9</v>
      </c>
      <c r="U3" s="176" t="s">
        <v>31</v>
      </c>
      <c r="V3" s="177" t="s">
        <v>3</v>
      </c>
      <c r="W3" s="176" t="s">
        <v>8</v>
      </c>
      <c r="X3" s="176" t="s">
        <v>9</v>
      </c>
      <c r="Y3" s="176" t="s">
        <v>31</v>
      </c>
      <c r="Z3" s="177" t="s">
        <v>3</v>
      </c>
      <c r="AA3" s="176" t="s">
        <v>8</v>
      </c>
      <c r="AB3" s="176" t="s">
        <v>9</v>
      </c>
      <c r="AC3" s="176" t="s">
        <v>31</v>
      </c>
      <c r="AD3" s="177" t="s">
        <v>3</v>
      </c>
      <c r="AE3" s="176" t="s">
        <v>8</v>
      </c>
      <c r="AF3" s="176" t="s">
        <v>9</v>
      </c>
      <c r="AG3" s="176" t="s">
        <v>31</v>
      </c>
      <c r="AH3" s="177" t="s">
        <v>3</v>
      </c>
      <c r="AI3" s="173" t="s">
        <v>31</v>
      </c>
      <c r="AJ3" s="173" t="s">
        <v>3</v>
      </c>
      <c r="AK3" s="176" t="s">
        <v>8</v>
      </c>
      <c r="AL3" s="176" t="s">
        <v>9</v>
      </c>
      <c r="AM3" s="176" t="s">
        <v>31</v>
      </c>
      <c r="AN3" s="177" t="s">
        <v>3</v>
      </c>
      <c r="AO3" s="176" t="s">
        <v>8</v>
      </c>
      <c r="AP3" s="176" t="s">
        <v>9</v>
      </c>
      <c r="AQ3" s="176" t="s">
        <v>31</v>
      </c>
      <c r="AR3" s="177" t="s">
        <v>3</v>
      </c>
      <c r="AS3" s="176" t="s">
        <v>8</v>
      </c>
      <c r="AT3" s="176" t="s">
        <v>9</v>
      </c>
      <c r="AU3" s="176" t="s">
        <v>31</v>
      </c>
      <c r="AV3" s="177" t="s">
        <v>3</v>
      </c>
      <c r="AW3" s="176" t="s">
        <v>8</v>
      </c>
      <c r="AX3" s="176" t="s">
        <v>9</v>
      </c>
      <c r="AY3" s="176" t="s">
        <v>31</v>
      </c>
      <c r="AZ3" s="177" t="s">
        <v>3</v>
      </c>
      <c r="BA3" s="176" t="s">
        <v>8</v>
      </c>
      <c r="BB3" s="176" t="s">
        <v>9</v>
      </c>
      <c r="BC3" s="176" t="s">
        <v>31</v>
      </c>
      <c r="BD3" s="177" t="s">
        <v>3</v>
      </c>
      <c r="BE3" s="176" t="s">
        <v>31</v>
      </c>
      <c r="BF3" s="173" t="s">
        <v>3</v>
      </c>
      <c r="BG3" s="176" t="s">
        <v>8</v>
      </c>
      <c r="BH3" s="176" t="s">
        <v>9</v>
      </c>
      <c r="BI3" s="176" t="s">
        <v>31</v>
      </c>
      <c r="BJ3" s="177" t="s">
        <v>3</v>
      </c>
      <c r="BK3" s="176" t="s">
        <v>8</v>
      </c>
      <c r="BL3" s="176" t="s">
        <v>9</v>
      </c>
      <c r="BM3" s="176" t="s">
        <v>31</v>
      </c>
      <c r="BN3" s="177" t="s">
        <v>3</v>
      </c>
      <c r="BO3" s="176" t="s">
        <v>8</v>
      </c>
      <c r="BP3" s="176" t="s">
        <v>9</v>
      </c>
      <c r="BQ3" s="176" t="s">
        <v>31</v>
      </c>
      <c r="BR3" s="177" t="s">
        <v>3</v>
      </c>
      <c r="BS3" s="176" t="s">
        <v>31</v>
      </c>
      <c r="BT3" s="173" t="s">
        <v>3</v>
      </c>
      <c r="BU3" s="176" t="s">
        <v>8</v>
      </c>
      <c r="BV3" s="176" t="s">
        <v>9</v>
      </c>
      <c r="BW3" s="176" t="s">
        <v>31</v>
      </c>
      <c r="BX3" s="177" t="s">
        <v>3</v>
      </c>
      <c r="BY3" s="176" t="s">
        <v>98</v>
      </c>
      <c r="BZ3" s="176" t="s">
        <v>8</v>
      </c>
      <c r="CA3" s="176" t="s">
        <v>9</v>
      </c>
      <c r="CB3" s="178" t="s">
        <v>33</v>
      </c>
      <c r="CC3" s="176" t="s">
        <v>99</v>
      </c>
      <c r="CD3" s="176" t="s">
        <v>34</v>
      </c>
      <c r="CE3" s="176" t="s">
        <v>100</v>
      </c>
    </row>
    <row r="4" spans="1:83" s="7" customFormat="1" x14ac:dyDescent="0.25">
      <c r="A4" s="122" t="s">
        <v>309</v>
      </c>
      <c r="B4" s="20" t="s">
        <v>142</v>
      </c>
      <c r="C4" s="238">
        <v>41794</v>
      </c>
      <c r="D4" s="196">
        <v>39948</v>
      </c>
      <c r="E4" s="242">
        <v>81742</v>
      </c>
      <c r="F4" s="156">
        <v>65.991749214883711</v>
      </c>
      <c r="G4" s="196">
        <v>910</v>
      </c>
      <c r="H4" s="196">
        <v>857</v>
      </c>
      <c r="I4" s="128">
        <v>1767</v>
      </c>
      <c r="J4" s="131">
        <v>1.4265300685412579</v>
      </c>
      <c r="K4" s="196">
        <v>54</v>
      </c>
      <c r="L4" s="196">
        <v>55</v>
      </c>
      <c r="M4" s="128">
        <v>109</v>
      </c>
      <c r="N4" s="131">
        <v>8.7997610340122878E-2</v>
      </c>
      <c r="O4" s="196">
        <v>8900</v>
      </c>
      <c r="P4" s="196">
        <v>9687</v>
      </c>
      <c r="Q4" s="128">
        <v>18587</v>
      </c>
      <c r="R4" s="131">
        <v>15.00561085680609</v>
      </c>
      <c r="S4" s="196">
        <v>240</v>
      </c>
      <c r="T4" s="196">
        <v>230</v>
      </c>
      <c r="U4" s="128">
        <v>470</v>
      </c>
      <c r="V4" s="131">
        <v>0.37943923724640138</v>
      </c>
      <c r="W4" s="196">
        <v>361</v>
      </c>
      <c r="X4" s="196">
        <v>367</v>
      </c>
      <c r="Y4" s="196">
        <v>728</v>
      </c>
      <c r="Z4" s="131">
        <v>0.58772715896889405</v>
      </c>
      <c r="AA4" s="196">
        <v>791</v>
      </c>
      <c r="AB4" s="196">
        <v>710</v>
      </c>
      <c r="AC4" s="128">
        <v>1501</v>
      </c>
      <c r="AD4" s="131">
        <v>1.211783606610316</v>
      </c>
      <c r="AE4" s="196">
        <v>642</v>
      </c>
      <c r="AF4" s="196">
        <v>603</v>
      </c>
      <c r="AG4" s="128">
        <v>1245</v>
      </c>
      <c r="AH4" s="131">
        <v>1.0051103199399356</v>
      </c>
      <c r="AI4" s="196">
        <v>3944</v>
      </c>
      <c r="AJ4" s="130">
        <v>3.1840603227655464</v>
      </c>
      <c r="AK4" s="196">
        <v>1855</v>
      </c>
      <c r="AL4" s="196">
        <v>1558</v>
      </c>
      <c r="AM4" s="128">
        <v>3413</v>
      </c>
      <c r="AN4" s="131">
        <v>2.7553747164297189</v>
      </c>
      <c r="AO4" s="196">
        <v>392</v>
      </c>
      <c r="AP4" s="196">
        <v>350</v>
      </c>
      <c r="AQ4" s="128">
        <v>742</v>
      </c>
      <c r="AR4" s="131">
        <v>0.59902960433368047</v>
      </c>
      <c r="AS4" s="196">
        <v>969</v>
      </c>
      <c r="AT4" s="196">
        <v>880</v>
      </c>
      <c r="AU4" s="128">
        <v>1849</v>
      </c>
      <c r="AV4" s="218">
        <v>1.4927301056778641</v>
      </c>
      <c r="AW4" s="196">
        <v>2277</v>
      </c>
      <c r="AX4" s="196">
        <v>2177</v>
      </c>
      <c r="AY4" s="128">
        <v>4454</v>
      </c>
      <c r="AZ4" s="131">
        <v>3.5957922610541955</v>
      </c>
      <c r="BA4" s="196">
        <v>1520</v>
      </c>
      <c r="BB4" s="196">
        <v>1640</v>
      </c>
      <c r="BC4" s="128">
        <v>3160</v>
      </c>
      <c r="BD4" s="131">
        <v>2.551123382337507</v>
      </c>
      <c r="BE4" s="240">
        <v>10458</v>
      </c>
      <c r="BF4" s="130">
        <v>10.994050069832966</v>
      </c>
      <c r="BG4" s="196">
        <v>670</v>
      </c>
      <c r="BH4" s="196">
        <v>630</v>
      </c>
      <c r="BI4" s="128">
        <v>1300</v>
      </c>
      <c r="BJ4" s="131">
        <v>1.0495127838730252</v>
      </c>
      <c r="BK4" s="196">
        <v>299</v>
      </c>
      <c r="BL4" s="196">
        <v>299</v>
      </c>
      <c r="BM4" s="128">
        <v>598</v>
      </c>
      <c r="BN4" s="131">
        <v>0.48277588058159154</v>
      </c>
      <c r="BO4" s="196">
        <v>107</v>
      </c>
      <c r="BP4" s="196">
        <v>92</v>
      </c>
      <c r="BQ4" s="128">
        <v>199</v>
      </c>
      <c r="BR4" s="131">
        <v>0.16065618768517845</v>
      </c>
      <c r="BS4" s="240">
        <v>2097</v>
      </c>
      <c r="BT4" s="130">
        <v>1.6929448521397952</v>
      </c>
      <c r="BU4" s="196">
        <v>1203</v>
      </c>
      <c r="BV4" s="196">
        <v>800</v>
      </c>
      <c r="BW4" s="128">
        <v>2003</v>
      </c>
      <c r="BX4" s="131">
        <v>1.6170570046905148</v>
      </c>
      <c r="BY4" s="128">
        <v>123867</v>
      </c>
      <c r="BZ4" s="196">
        <v>62984</v>
      </c>
      <c r="CA4" s="196">
        <v>60883</v>
      </c>
      <c r="CB4" s="127">
        <v>102205</v>
      </c>
      <c r="CC4" s="155">
        <v>82.511887750571177</v>
      </c>
      <c r="CD4" s="127">
        <v>21662</v>
      </c>
      <c r="CE4" s="131">
        <v>17.488112249428823</v>
      </c>
    </row>
    <row r="5" spans="1:83" s="7" customFormat="1" x14ac:dyDescent="0.25">
      <c r="A5" s="122" t="s">
        <v>84</v>
      </c>
      <c r="B5" s="20" t="s">
        <v>143</v>
      </c>
      <c r="C5" s="238">
        <v>37312</v>
      </c>
      <c r="D5" s="196">
        <v>37906</v>
      </c>
      <c r="E5" s="242">
        <v>75218</v>
      </c>
      <c r="F5" s="156">
        <v>89.739674055692092</v>
      </c>
      <c r="G5" s="196">
        <v>249</v>
      </c>
      <c r="H5" s="196">
        <v>278</v>
      </c>
      <c r="I5" s="128">
        <v>527</v>
      </c>
      <c r="J5" s="131">
        <v>0.62874322937793792</v>
      </c>
      <c r="K5" s="196">
        <v>108</v>
      </c>
      <c r="L5" s="196">
        <v>131</v>
      </c>
      <c r="M5" s="128">
        <v>239</v>
      </c>
      <c r="N5" s="131">
        <v>0.28514161635925456</v>
      </c>
      <c r="O5" s="196">
        <v>2238</v>
      </c>
      <c r="P5" s="196">
        <v>2451</v>
      </c>
      <c r="Q5" s="128">
        <v>4689</v>
      </c>
      <c r="R5" s="131">
        <v>5.5942637619604376</v>
      </c>
      <c r="S5" s="196">
        <v>92</v>
      </c>
      <c r="T5" s="196">
        <v>93</v>
      </c>
      <c r="U5" s="128">
        <v>185</v>
      </c>
      <c r="V5" s="131">
        <v>0.22071631391825142</v>
      </c>
      <c r="W5" s="196">
        <v>122</v>
      </c>
      <c r="X5" s="196">
        <v>108</v>
      </c>
      <c r="Y5" s="196">
        <v>230</v>
      </c>
      <c r="Z5" s="131">
        <v>0.27440406595242073</v>
      </c>
      <c r="AA5" s="196">
        <v>179</v>
      </c>
      <c r="AB5" s="196">
        <v>191</v>
      </c>
      <c r="AC5" s="128">
        <v>370</v>
      </c>
      <c r="AD5" s="131">
        <v>0.44143262783650283</v>
      </c>
      <c r="AE5" s="196">
        <v>184</v>
      </c>
      <c r="AF5" s="196">
        <v>213</v>
      </c>
      <c r="AG5" s="128">
        <v>397</v>
      </c>
      <c r="AH5" s="131">
        <v>0.47364527905700449</v>
      </c>
      <c r="AI5" s="196">
        <v>1182</v>
      </c>
      <c r="AJ5" s="130">
        <v>1.4101982867641796</v>
      </c>
      <c r="AK5" s="196">
        <v>162</v>
      </c>
      <c r="AL5" s="196">
        <v>154</v>
      </c>
      <c r="AM5" s="128">
        <v>316</v>
      </c>
      <c r="AN5" s="131">
        <v>0.37700732539549975</v>
      </c>
      <c r="AO5" s="196">
        <v>63</v>
      </c>
      <c r="AP5" s="196">
        <v>40</v>
      </c>
      <c r="AQ5" s="128">
        <v>103</v>
      </c>
      <c r="AR5" s="131">
        <v>0.12288529910043189</v>
      </c>
      <c r="AS5" s="196">
        <v>44</v>
      </c>
      <c r="AT5" s="196">
        <v>36</v>
      </c>
      <c r="AU5" s="128">
        <v>80</v>
      </c>
      <c r="AV5" s="218">
        <v>9.544489250518981E-2</v>
      </c>
      <c r="AW5" s="196">
        <v>123</v>
      </c>
      <c r="AX5" s="196">
        <v>167</v>
      </c>
      <c r="AY5" s="128">
        <v>290</v>
      </c>
      <c r="AZ5" s="131">
        <v>0.34598773533131311</v>
      </c>
      <c r="BA5" s="196">
        <v>170</v>
      </c>
      <c r="BB5" s="196">
        <v>256</v>
      </c>
      <c r="BC5" s="128">
        <v>426</v>
      </c>
      <c r="BD5" s="131">
        <v>0.50824405259013572</v>
      </c>
      <c r="BE5" s="240">
        <v>789</v>
      </c>
      <c r="BF5" s="130">
        <v>1.4495693049225702</v>
      </c>
      <c r="BG5" s="196">
        <v>142</v>
      </c>
      <c r="BH5" s="196">
        <v>146</v>
      </c>
      <c r="BI5" s="128">
        <v>288</v>
      </c>
      <c r="BJ5" s="131">
        <v>0.34360161301868331</v>
      </c>
      <c r="BK5" s="196">
        <v>54</v>
      </c>
      <c r="BL5" s="196">
        <v>41</v>
      </c>
      <c r="BM5" s="128">
        <v>95</v>
      </c>
      <c r="BN5" s="131">
        <v>0.1133408098499129</v>
      </c>
      <c r="BO5" s="196">
        <v>73</v>
      </c>
      <c r="BP5" s="196">
        <v>50</v>
      </c>
      <c r="BQ5" s="128">
        <v>123</v>
      </c>
      <c r="BR5" s="131">
        <v>0.14674652222672935</v>
      </c>
      <c r="BS5" s="240">
        <v>506</v>
      </c>
      <c r="BT5" s="130">
        <v>0.60368894509532556</v>
      </c>
      <c r="BU5" s="196">
        <v>128</v>
      </c>
      <c r="BV5" s="196">
        <v>114</v>
      </c>
      <c r="BW5" s="128">
        <v>242</v>
      </c>
      <c r="BX5" s="155">
        <v>0.2887207998281992</v>
      </c>
      <c r="BY5" s="127">
        <v>83818</v>
      </c>
      <c r="BZ5" s="196">
        <v>41443</v>
      </c>
      <c r="CA5" s="196">
        <v>42375</v>
      </c>
      <c r="CB5" s="127">
        <v>80673</v>
      </c>
      <c r="CC5" s="155">
        <v>96.247822663389726</v>
      </c>
      <c r="CD5" s="127">
        <v>3145</v>
      </c>
      <c r="CE5" s="131">
        <v>3.7521773366102749</v>
      </c>
    </row>
    <row r="6" spans="1:83" s="7" customFormat="1" x14ac:dyDescent="0.25">
      <c r="A6" s="122" t="s">
        <v>85</v>
      </c>
      <c r="B6" s="20" t="s">
        <v>144</v>
      </c>
      <c r="C6" s="238">
        <v>42176</v>
      </c>
      <c r="D6" s="196">
        <v>43975</v>
      </c>
      <c r="E6" s="242">
        <v>86151</v>
      </c>
      <c r="F6" s="156">
        <v>90.435850601499027</v>
      </c>
      <c r="G6" s="196">
        <v>200</v>
      </c>
      <c r="H6" s="196">
        <v>190</v>
      </c>
      <c r="I6" s="128">
        <v>390</v>
      </c>
      <c r="J6" s="131">
        <v>0.4093972412924356</v>
      </c>
      <c r="K6" s="196">
        <v>224</v>
      </c>
      <c r="L6" s="196">
        <v>243</v>
      </c>
      <c r="M6" s="128">
        <v>467</v>
      </c>
      <c r="N6" s="131">
        <v>0.49022695303478825</v>
      </c>
      <c r="O6" s="196">
        <v>2806</v>
      </c>
      <c r="P6" s="196">
        <v>2817</v>
      </c>
      <c r="Q6" s="128">
        <v>5623</v>
      </c>
      <c r="R6" s="131">
        <v>5.902668430224014</v>
      </c>
      <c r="S6" s="196">
        <v>55</v>
      </c>
      <c r="T6" s="196">
        <v>49</v>
      </c>
      <c r="U6" s="128">
        <v>104</v>
      </c>
      <c r="V6" s="131">
        <v>0.10917259767798282</v>
      </c>
      <c r="W6" s="196">
        <v>159</v>
      </c>
      <c r="X6" s="196">
        <v>134</v>
      </c>
      <c r="Y6" s="196">
        <v>293</v>
      </c>
      <c r="Z6" s="131">
        <v>0.30757279922739389</v>
      </c>
      <c r="AA6" s="196">
        <v>144</v>
      </c>
      <c r="AB6" s="196">
        <v>120</v>
      </c>
      <c r="AC6" s="128">
        <v>264</v>
      </c>
      <c r="AD6" s="131">
        <v>0.27713044025949485</v>
      </c>
      <c r="AE6" s="196">
        <v>119</v>
      </c>
      <c r="AF6" s="196">
        <v>121</v>
      </c>
      <c r="AG6" s="128">
        <v>240</v>
      </c>
      <c r="AH6" s="131">
        <v>0.25193676387226804</v>
      </c>
      <c r="AI6" s="196">
        <v>901</v>
      </c>
      <c r="AJ6" s="130">
        <v>0.94581260103713971</v>
      </c>
      <c r="AK6" s="196">
        <v>205</v>
      </c>
      <c r="AL6" s="196">
        <v>167</v>
      </c>
      <c r="AM6" s="128">
        <v>372</v>
      </c>
      <c r="AN6" s="131">
        <v>0.39050198400201552</v>
      </c>
      <c r="AO6" s="196">
        <v>54</v>
      </c>
      <c r="AP6" s="196">
        <v>11</v>
      </c>
      <c r="AQ6" s="128">
        <v>65</v>
      </c>
      <c r="AR6" s="131">
        <v>6.8232873548739262E-2</v>
      </c>
      <c r="AS6" s="196">
        <v>37</v>
      </c>
      <c r="AT6" s="196">
        <v>28</v>
      </c>
      <c r="AU6" s="128">
        <v>65</v>
      </c>
      <c r="AV6" s="218">
        <v>6.8232873548739262E-2</v>
      </c>
      <c r="AW6" s="196">
        <v>105</v>
      </c>
      <c r="AX6" s="196">
        <v>110</v>
      </c>
      <c r="AY6" s="128">
        <v>215</v>
      </c>
      <c r="AZ6" s="131">
        <v>0.2256933509689068</v>
      </c>
      <c r="BA6" s="196">
        <v>150</v>
      </c>
      <c r="BB6" s="196">
        <v>208</v>
      </c>
      <c r="BC6" s="128">
        <v>358</v>
      </c>
      <c r="BD6" s="131">
        <v>0.37580567277613319</v>
      </c>
      <c r="BE6" s="240">
        <v>717</v>
      </c>
      <c r="BF6" s="130">
        <v>1.128466754844534</v>
      </c>
      <c r="BG6" s="196">
        <v>118</v>
      </c>
      <c r="BH6" s="196">
        <v>98</v>
      </c>
      <c r="BI6" s="128">
        <v>216</v>
      </c>
      <c r="BJ6" s="131">
        <v>0.22674308748504127</v>
      </c>
      <c r="BK6" s="196">
        <v>108</v>
      </c>
      <c r="BL6" s="196">
        <v>78</v>
      </c>
      <c r="BM6" s="128">
        <v>186</v>
      </c>
      <c r="BN6" s="131">
        <v>0.19525099200100776</v>
      </c>
      <c r="BO6" s="196">
        <v>65</v>
      </c>
      <c r="BP6" s="196">
        <v>30</v>
      </c>
      <c r="BQ6" s="128">
        <v>95</v>
      </c>
      <c r="BR6" s="131">
        <v>9.9724969032772767E-2</v>
      </c>
      <c r="BS6" s="240">
        <v>497</v>
      </c>
      <c r="BT6" s="130">
        <v>0.52171904851882178</v>
      </c>
      <c r="BU6" s="196">
        <v>86</v>
      </c>
      <c r="BV6" s="196">
        <v>72</v>
      </c>
      <c r="BW6" s="128">
        <v>158</v>
      </c>
      <c r="BX6" s="155">
        <v>0.16585836954924313</v>
      </c>
      <c r="BY6" s="127">
        <v>95262</v>
      </c>
      <c r="BZ6" s="196">
        <v>46811</v>
      </c>
      <c r="CA6" s="196">
        <v>48451</v>
      </c>
      <c r="CB6" s="128">
        <v>92631</v>
      </c>
      <c r="CC6" s="131">
        <v>97.238143226050269</v>
      </c>
      <c r="CD6" s="128">
        <v>2631</v>
      </c>
      <c r="CE6" s="131">
        <v>2.7618567739497388</v>
      </c>
    </row>
    <row r="7" spans="1:83" s="7" customFormat="1" x14ac:dyDescent="0.25">
      <c r="A7" s="124" t="s">
        <v>86</v>
      </c>
      <c r="B7" s="21" t="s">
        <v>145</v>
      </c>
      <c r="C7" s="238">
        <v>75494</v>
      </c>
      <c r="D7" s="196">
        <v>76200</v>
      </c>
      <c r="E7" s="128">
        <v>151694</v>
      </c>
      <c r="F7" s="131">
        <v>89.49076149798239</v>
      </c>
      <c r="G7" s="196">
        <v>540</v>
      </c>
      <c r="H7" s="196">
        <v>590</v>
      </c>
      <c r="I7" s="128">
        <v>1130</v>
      </c>
      <c r="J7" s="131">
        <v>0.66663520305826274</v>
      </c>
      <c r="K7" s="196">
        <v>123</v>
      </c>
      <c r="L7" s="196">
        <v>85</v>
      </c>
      <c r="M7" s="128">
        <v>208</v>
      </c>
      <c r="N7" s="131">
        <v>0.12270807277532624</v>
      </c>
      <c r="O7" s="196">
        <v>3809</v>
      </c>
      <c r="P7" s="196">
        <v>3850</v>
      </c>
      <c r="Q7" s="128">
        <v>7659</v>
      </c>
      <c r="R7" s="131">
        <v>4.5183708143568442</v>
      </c>
      <c r="S7" s="196">
        <v>172</v>
      </c>
      <c r="T7" s="196">
        <v>184</v>
      </c>
      <c r="U7" s="128">
        <v>356</v>
      </c>
      <c r="V7" s="131">
        <v>0.21001958609623145</v>
      </c>
      <c r="W7" s="196">
        <v>367</v>
      </c>
      <c r="X7" s="196">
        <v>340</v>
      </c>
      <c r="Y7" s="196">
        <v>707</v>
      </c>
      <c r="Z7" s="131">
        <v>0.41708945890459442</v>
      </c>
      <c r="AA7" s="196">
        <v>408</v>
      </c>
      <c r="AB7" s="196">
        <v>361</v>
      </c>
      <c r="AC7" s="128">
        <v>769</v>
      </c>
      <c r="AD7" s="131">
        <v>0.45366590367416293</v>
      </c>
      <c r="AE7" s="196">
        <v>348</v>
      </c>
      <c r="AF7" s="196">
        <v>350</v>
      </c>
      <c r="AG7" s="128">
        <v>698</v>
      </c>
      <c r="AH7" s="131">
        <v>0.41177997498643132</v>
      </c>
      <c r="AI7" s="196">
        <v>2530</v>
      </c>
      <c r="AJ7" s="130">
        <v>1.4925549236614202</v>
      </c>
      <c r="AK7" s="196">
        <v>586</v>
      </c>
      <c r="AL7" s="196">
        <v>533</v>
      </c>
      <c r="AM7" s="128">
        <v>1119</v>
      </c>
      <c r="AN7" s="131">
        <v>0.66014583382495218</v>
      </c>
      <c r="AO7" s="196">
        <v>513</v>
      </c>
      <c r="AP7" s="196">
        <v>485</v>
      </c>
      <c r="AQ7" s="128">
        <v>998</v>
      </c>
      <c r="AR7" s="131">
        <v>0.58876277225853646</v>
      </c>
      <c r="AS7" s="196">
        <v>212</v>
      </c>
      <c r="AT7" s="196">
        <v>139</v>
      </c>
      <c r="AU7" s="128">
        <v>351</v>
      </c>
      <c r="AV7" s="218">
        <v>0.20706987280836303</v>
      </c>
      <c r="AW7" s="196">
        <v>251</v>
      </c>
      <c r="AX7" s="196">
        <v>324</v>
      </c>
      <c r="AY7" s="128">
        <v>575</v>
      </c>
      <c r="AZ7" s="131">
        <v>0.3392170281048682</v>
      </c>
      <c r="BA7" s="196">
        <v>475</v>
      </c>
      <c r="BB7" s="196">
        <v>672</v>
      </c>
      <c r="BC7" s="128">
        <v>1147</v>
      </c>
      <c r="BD7" s="131">
        <v>0.67666422823701544</v>
      </c>
      <c r="BE7" s="240">
        <v>3043</v>
      </c>
      <c r="BF7" s="130">
        <v>2.4718597352337355</v>
      </c>
      <c r="BG7" s="196">
        <v>489</v>
      </c>
      <c r="BH7" s="196">
        <v>373</v>
      </c>
      <c r="BI7" s="128">
        <v>862</v>
      </c>
      <c r="BJ7" s="131">
        <v>0.50853057082851549</v>
      </c>
      <c r="BK7" s="196">
        <v>269</v>
      </c>
      <c r="BL7" s="196">
        <v>158</v>
      </c>
      <c r="BM7" s="128">
        <v>427</v>
      </c>
      <c r="BN7" s="131">
        <v>0.251905514783963</v>
      </c>
      <c r="BO7" s="196">
        <v>213</v>
      </c>
      <c r="BP7" s="196">
        <v>140</v>
      </c>
      <c r="BQ7" s="128">
        <v>353</v>
      </c>
      <c r="BR7" s="131">
        <v>0.20824975812351038</v>
      </c>
      <c r="BS7" s="240">
        <v>1642</v>
      </c>
      <c r="BT7" s="130">
        <v>0.96868584373598887</v>
      </c>
      <c r="BU7" s="196">
        <v>263</v>
      </c>
      <c r="BV7" s="196">
        <v>192</v>
      </c>
      <c r="BW7" s="128">
        <v>455</v>
      </c>
      <c r="BX7" s="155">
        <v>0.26842390919602616</v>
      </c>
      <c r="BY7" s="127">
        <v>169508</v>
      </c>
      <c r="BZ7" s="196">
        <v>84532</v>
      </c>
      <c r="CA7" s="196">
        <v>84976</v>
      </c>
      <c r="CB7" s="128">
        <v>160691</v>
      </c>
      <c r="CC7" s="131">
        <v>94.79847558817282</v>
      </c>
      <c r="CD7" s="128">
        <v>8817</v>
      </c>
      <c r="CE7" s="131">
        <v>5.2015244118271706</v>
      </c>
    </row>
    <row r="8" spans="1:83" s="7" customFormat="1" x14ac:dyDescent="0.25">
      <c r="A8" s="119" t="s">
        <v>87</v>
      </c>
      <c r="B8" s="126" t="s">
        <v>146</v>
      </c>
      <c r="C8" s="238">
        <v>64735</v>
      </c>
      <c r="D8" s="196">
        <v>65077</v>
      </c>
      <c r="E8" s="128">
        <v>129812</v>
      </c>
      <c r="F8" s="131">
        <v>87.265638129810768</v>
      </c>
      <c r="G8" s="196">
        <v>511</v>
      </c>
      <c r="H8" s="196">
        <v>583</v>
      </c>
      <c r="I8" s="128">
        <v>1094</v>
      </c>
      <c r="J8" s="131">
        <v>0.7354374642869147</v>
      </c>
      <c r="K8" s="196">
        <v>224</v>
      </c>
      <c r="L8" s="196">
        <v>261</v>
      </c>
      <c r="M8" s="128">
        <v>485</v>
      </c>
      <c r="N8" s="131">
        <v>0.32603946085845853</v>
      </c>
      <c r="O8" s="196">
        <v>3361</v>
      </c>
      <c r="P8" s="196">
        <v>4035</v>
      </c>
      <c r="Q8" s="128">
        <v>7396</v>
      </c>
      <c r="R8" s="131">
        <v>4.9719337165137309</v>
      </c>
      <c r="S8" s="196">
        <v>152</v>
      </c>
      <c r="T8" s="196">
        <v>118</v>
      </c>
      <c r="U8" s="128">
        <v>270</v>
      </c>
      <c r="V8" s="131">
        <v>0.1815065039830594</v>
      </c>
      <c r="W8" s="196">
        <v>293</v>
      </c>
      <c r="X8" s="196">
        <v>259</v>
      </c>
      <c r="Y8" s="196">
        <v>552</v>
      </c>
      <c r="Z8" s="131">
        <v>0.37107996369869922</v>
      </c>
      <c r="AA8" s="196">
        <v>498</v>
      </c>
      <c r="AB8" s="196">
        <v>493</v>
      </c>
      <c r="AC8" s="128">
        <v>991</v>
      </c>
      <c r="AD8" s="131">
        <v>0.66619609424893278</v>
      </c>
      <c r="AE8" s="196">
        <v>355</v>
      </c>
      <c r="AF8" s="196">
        <v>356</v>
      </c>
      <c r="AG8" s="128">
        <v>711</v>
      </c>
      <c r="AH8" s="131">
        <v>0.47796712715538975</v>
      </c>
      <c r="AI8" s="196">
        <v>2524</v>
      </c>
      <c r="AJ8" s="130">
        <v>1.6967496890860811</v>
      </c>
      <c r="AK8" s="196">
        <v>1138</v>
      </c>
      <c r="AL8" s="196">
        <v>1072</v>
      </c>
      <c r="AM8" s="128">
        <v>2210</v>
      </c>
      <c r="AN8" s="131">
        <v>1.4856643474168936</v>
      </c>
      <c r="AO8" s="196">
        <v>252</v>
      </c>
      <c r="AP8" s="196">
        <v>213</v>
      </c>
      <c r="AQ8" s="128">
        <v>465</v>
      </c>
      <c r="AR8" s="131">
        <v>0.31259453463749115</v>
      </c>
      <c r="AS8" s="196">
        <v>121</v>
      </c>
      <c r="AT8" s="196">
        <v>96</v>
      </c>
      <c r="AU8" s="128">
        <v>217</v>
      </c>
      <c r="AV8" s="218">
        <v>0.14587744949749587</v>
      </c>
      <c r="AW8" s="196">
        <v>550</v>
      </c>
      <c r="AX8" s="196">
        <v>639</v>
      </c>
      <c r="AY8" s="128">
        <v>1189</v>
      </c>
      <c r="AZ8" s="131">
        <v>0.79930086383650967</v>
      </c>
      <c r="BA8" s="196">
        <v>616</v>
      </c>
      <c r="BB8" s="196">
        <v>843</v>
      </c>
      <c r="BC8" s="128">
        <v>1459</v>
      </c>
      <c r="BD8" s="131">
        <v>0.98080736781956912</v>
      </c>
      <c r="BE8" s="240">
        <v>4081</v>
      </c>
      <c r="BF8" s="130">
        <v>3.7242445632079595</v>
      </c>
      <c r="BG8" s="196">
        <v>365</v>
      </c>
      <c r="BH8" s="196">
        <v>395</v>
      </c>
      <c r="BI8" s="128">
        <v>760</v>
      </c>
      <c r="BJ8" s="131">
        <v>0.51090719639675974</v>
      </c>
      <c r="BK8" s="196">
        <v>191</v>
      </c>
      <c r="BL8" s="196">
        <v>150</v>
      </c>
      <c r="BM8" s="128">
        <v>341</v>
      </c>
      <c r="BN8" s="131">
        <v>0.22923599206749354</v>
      </c>
      <c r="BO8" s="196">
        <v>85</v>
      </c>
      <c r="BP8" s="196">
        <v>82</v>
      </c>
      <c r="BQ8" s="128">
        <v>167</v>
      </c>
      <c r="BR8" s="131">
        <v>0.11226513394507746</v>
      </c>
      <c r="BS8" s="240">
        <v>1268</v>
      </c>
      <c r="BT8" s="130">
        <v>0.85240832240933073</v>
      </c>
      <c r="BU8" s="196">
        <v>343</v>
      </c>
      <c r="BV8" s="196">
        <v>293</v>
      </c>
      <c r="BW8" s="128">
        <v>636</v>
      </c>
      <c r="BX8" s="155">
        <v>0.42754865382676216</v>
      </c>
      <c r="BY8" s="127">
        <v>148755</v>
      </c>
      <c r="BZ8" s="196">
        <v>73790</v>
      </c>
      <c r="CA8" s="196">
        <v>74965</v>
      </c>
      <c r="CB8" s="128">
        <v>138787</v>
      </c>
      <c r="CC8" s="131">
        <v>93.299048771469856</v>
      </c>
      <c r="CD8" s="128">
        <v>9968</v>
      </c>
      <c r="CE8" s="131">
        <v>6.7009512285301334</v>
      </c>
    </row>
    <row r="9" spans="1:83" x14ac:dyDescent="0.25">
      <c r="A9" s="121" t="s">
        <v>295</v>
      </c>
      <c r="B9" s="6" t="s">
        <v>294</v>
      </c>
      <c r="C9" s="238">
        <f>SUM(C4:C8)</f>
        <v>261511</v>
      </c>
      <c r="D9" s="238">
        <f>SUM(D4:D8)</f>
        <v>263106</v>
      </c>
      <c r="E9" s="239">
        <v>524617</v>
      </c>
      <c r="F9" s="123">
        <v>84.450829832101874</v>
      </c>
      <c r="G9" s="238">
        <f>SUM(G4:G8)</f>
        <v>2410</v>
      </c>
      <c r="H9" s="238">
        <f>SUM(H4:H8)</f>
        <v>2498</v>
      </c>
      <c r="I9" s="239">
        <v>4908</v>
      </c>
      <c r="J9" s="123">
        <v>0.79007099048630891</v>
      </c>
      <c r="K9" s="238">
        <f>SUM(K4:K8)</f>
        <v>733</v>
      </c>
      <c r="L9" s="238">
        <f>SUM(L4:L8)</f>
        <v>775</v>
      </c>
      <c r="M9" s="239">
        <v>1508</v>
      </c>
      <c r="N9" s="123">
        <v>0.24275204842162876</v>
      </c>
      <c r="O9" s="238">
        <f>SUM(O4:O8)</f>
        <v>21114</v>
      </c>
      <c r="P9" s="238">
        <f>SUM(P4:P8)</f>
        <v>22840</v>
      </c>
      <c r="Q9" s="239">
        <v>43954</v>
      </c>
      <c r="R9" s="123">
        <v>7.0755461116208691</v>
      </c>
      <c r="S9" s="238">
        <f>SUM(S4:S8)</f>
        <v>711</v>
      </c>
      <c r="T9" s="238">
        <f>SUM(T4:T8)</f>
        <v>674</v>
      </c>
      <c r="U9" s="239">
        <v>1385</v>
      </c>
      <c r="V9" s="123">
        <v>0.2229519808116418</v>
      </c>
      <c r="W9" s="238">
        <f>SUM(W4:W8)</f>
        <v>1302</v>
      </c>
      <c r="X9" s="238">
        <f>SUM(X4:X8)</f>
        <v>1208</v>
      </c>
      <c r="Y9" s="238">
        <v>2510</v>
      </c>
      <c r="Z9" s="123">
        <v>0.40405016017127865</v>
      </c>
      <c r="AA9" s="238">
        <f>SUM(AA4:AA8)</f>
        <v>2020</v>
      </c>
      <c r="AB9" s="238">
        <f>SUM(AB4:AB8)</f>
        <v>1875</v>
      </c>
      <c r="AC9" s="239">
        <v>3895</v>
      </c>
      <c r="AD9" s="123">
        <v>0.6270021409829204</v>
      </c>
      <c r="AE9" s="238">
        <f>SUM(AE4:AE8)</f>
        <v>1648</v>
      </c>
      <c r="AF9" s="238">
        <f>SUM(AF4:AF8)</f>
        <v>1643</v>
      </c>
      <c r="AG9" s="239">
        <v>3291</v>
      </c>
      <c r="AH9" s="123">
        <v>0.5297725406867243</v>
      </c>
      <c r="AI9" s="238">
        <f>SUM(AI4:AI8)</f>
        <v>11081</v>
      </c>
      <c r="AJ9" s="64">
        <v>1.7837768226525652</v>
      </c>
      <c r="AK9" s="238">
        <f>SUM(AK4:AK8)</f>
        <v>3946</v>
      </c>
      <c r="AL9" s="238">
        <f>SUM(AL4:AL8)</f>
        <v>3484</v>
      </c>
      <c r="AM9" s="239">
        <v>7430</v>
      </c>
      <c r="AN9" s="123">
        <v>1.1960528645707571</v>
      </c>
      <c r="AO9" s="238">
        <f>SUM(AO4:AO8)</f>
        <v>1274</v>
      </c>
      <c r="AP9" s="238">
        <f>SUM(AP4:AP8)</f>
        <v>1099</v>
      </c>
      <c r="AQ9" s="239">
        <v>2373</v>
      </c>
      <c r="AR9" s="123">
        <v>0.38199642632926062</v>
      </c>
      <c r="AS9" s="238">
        <f>SUM(AS4:AS8)</f>
        <v>1383</v>
      </c>
      <c r="AT9" s="238">
        <f>SUM(AT4:AT8)</f>
        <v>1179</v>
      </c>
      <c r="AU9" s="239">
        <v>2562</v>
      </c>
      <c r="AV9" s="216">
        <v>0.41242092046167961</v>
      </c>
      <c r="AW9" s="238">
        <f>SUM(AW4:AW8)</f>
        <v>3306</v>
      </c>
      <c r="AX9" s="238">
        <f>SUM(AX4:AX8)</f>
        <v>3417</v>
      </c>
      <c r="AY9" s="239">
        <v>6723</v>
      </c>
      <c r="AZ9" s="123">
        <v>1.0822427198531896</v>
      </c>
      <c r="BA9" s="238">
        <f>SUM(BA4:BA8)</f>
        <v>2931</v>
      </c>
      <c r="BB9" s="238">
        <f>SUM(BB4:BB8)</f>
        <v>3619</v>
      </c>
      <c r="BC9" s="239">
        <v>6550</v>
      </c>
      <c r="BD9" s="123">
        <v>1.0543938442716634</v>
      </c>
      <c r="BE9" s="241">
        <v>19088</v>
      </c>
      <c r="BF9" s="64">
        <v>4.12710677548655</v>
      </c>
      <c r="BG9" s="238">
        <f>SUM(BG4:BG8)</f>
        <v>1784</v>
      </c>
      <c r="BH9" s="238">
        <f>SUM(BH4:BH8)</f>
        <v>1642</v>
      </c>
      <c r="BI9" s="239">
        <v>3426</v>
      </c>
      <c r="BJ9" s="123">
        <v>0.55150432220988066</v>
      </c>
      <c r="BK9" s="238">
        <f>SUM(BK4:BK8)</f>
        <v>921</v>
      </c>
      <c r="BL9" s="238">
        <f>SUM(BL4:BL8)</f>
        <v>726</v>
      </c>
      <c r="BM9" s="239">
        <v>1647</v>
      </c>
      <c r="BN9" s="123">
        <v>0.26512773458250832</v>
      </c>
      <c r="BO9" s="238">
        <f>SUM(BO4:BO8)</f>
        <v>543</v>
      </c>
      <c r="BP9" s="238">
        <f>SUM(BP4:BP8)</f>
        <v>394</v>
      </c>
      <c r="BQ9" s="239">
        <v>937</v>
      </c>
      <c r="BR9" s="123">
        <v>0.15083466138664864</v>
      </c>
      <c r="BS9" s="241">
        <v>6010</v>
      </c>
      <c r="BT9" s="64">
        <v>0.96746671817903773</v>
      </c>
      <c r="BU9" s="238">
        <f>SUM(BU4:BU8)</f>
        <v>2023</v>
      </c>
      <c r="BV9" s="238">
        <f>SUM(BV4:BV8)</f>
        <v>1471</v>
      </c>
      <c r="BW9" s="239">
        <v>3494</v>
      </c>
      <c r="BX9" s="123">
        <v>0.56245070105117434</v>
      </c>
      <c r="BY9" s="239">
        <v>621210</v>
      </c>
      <c r="BZ9" s="238">
        <f>SUM(BZ4:BZ8)</f>
        <v>309560</v>
      </c>
      <c r="CA9" s="238">
        <f>SUM(CA4:CA8)</f>
        <v>311650</v>
      </c>
      <c r="CB9" s="239">
        <v>574987</v>
      </c>
      <c r="CC9" s="123">
        <v>92.559198982630676</v>
      </c>
      <c r="CD9" s="239">
        <v>46223</v>
      </c>
      <c r="CE9" s="123">
        <v>7.4408010173693278</v>
      </c>
    </row>
    <row r="10" spans="1:83" x14ac:dyDescent="0.25">
      <c r="A10" s="5" t="s">
        <v>297</v>
      </c>
      <c r="B10" s="5" t="s">
        <v>296</v>
      </c>
      <c r="C10" s="238">
        <v>2452313</v>
      </c>
      <c r="D10" s="196">
        <v>2533857</v>
      </c>
      <c r="E10" s="239">
        <v>4986170</v>
      </c>
      <c r="F10" s="123">
        <v>85.277917688920652</v>
      </c>
      <c r="G10" s="196">
        <v>25694</v>
      </c>
      <c r="H10" s="196">
        <v>29879</v>
      </c>
      <c r="I10" s="239">
        <v>55573</v>
      </c>
      <c r="J10" s="123">
        <v>0.95045891329946386</v>
      </c>
      <c r="K10" s="196">
        <v>3905</v>
      </c>
      <c r="L10" s="196">
        <v>4260</v>
      </c>
      <c r="M10" s="239">
        <v>8165</v>
      </c>
      <c r="N10" s="123">
        <v>0.13964509792687316</v>
      </c>
      <c r="O10" s="196">
        <v>123443</v>
      </c>
      <c r="P10" s="196">
        <v>136843</v>
      </c>
      <c r="Q10" s="239">
        <v>260286</v>
      </c>
      <c r="R10" s="123">
        <v>4.4516428608688434</v>
      </c>
      <c r="S10" s="196">
        <v>7844</v>
      </c>
      <c r="T10" s="196">
        <v>7544</v>
      </c>
      <c r="U10" s="239">
        <v>15388</v>
      </c>
      <c r="V10" s="123">
        <v>0.26317927334950697</v>
      </c>
      <c r="W10" s="196">
        <v>18804</v>
      </c>
      <c r="X10" s="196">
        <v>18418</v>
      </c>
      <c r="Y10" s="196">
        <v>37222</v>
      </c>
      <c r="Z10" s="123">
        <v>0.63660377648916999</v>
      </c>
      <c r="AA10" s="196">
        <v>16451</v>
      </c>
      <c r="AB10" s="196">
        <v>15775</v>
      </c>
      <c r="AC10" s="239">
        <v>32226</v>
      </c>
      <c r="AD10" s="123">
        <v>0.55115773739025287</v>
      </c>
      <c r="AE10" s="196">
        <v>13509</v>
      </c>
      <c r="AF10" s="196">
        <v>13771</v>
      </c>
      <c r="AG10" s="239">
        <v>27280</v>
      </c>
      <c r="AH10" s="123">
        <v>0.46656684279793015</v>
      </c>
      <c r="AI10" s="196">
        <v>112116</v>
      </c>
      <c r="AJ10" s="64">
        <v>1.9175076300268601</v>
      </c>
      <c r="AK10" s="196">
        <v>44298</v>
      </c>
      <c r="AL10" s="196">
        <v>42438</v>
      </c>
      <c r="AM10" s="239">
        <v>86736</v>
      </c>
      <c r="AN10" s="123">
        <v>1.483436278479519</v>
      </c>
      <c r="AO10" s="196">
        <v>34042</v>
      </c>
      <c r="AP10" s="196">
        <v>32228</v>
      </c>
      <c r="AQ10" s="239">
        <v>66270</v>
      </c>
      <c r="AR10" s="123">
        <v>1.1334085290402798</v>
      </c>
      <c r="AS10" s="196">
        <v>17236</v>
      </c>
      <c r="AT10" s="196">
        <v>15756</v>
      </c>
      <c r="AU10" s="239">
        <v>32992</v>
      </c>
      <c r="AV10" s="216">
        <v>0.56425855123127988</v>
      </c>
      <c r="AW10" s="196">
        <v>15830</v>
      </c>
      <c r="AX10" s="196">
        <v>17673</v>
      </c>
      <c r="AY10" s="239">
        <v>33503</v>
      </c>
      <c r="AZ10" s="123">
        <v>0.57299812808867512</v>
      </c>
      <c r="BA10" s="196">
        <v>27267</v>
      </c>
      <c r="BB10" s="196">
        <v>31604</v>
      </c>
      <c r="BC10" s="239">
        <v>58871</v>
      </c>
      <c r="BD10" s="123">
        <v>1.0068642449544336</v>
      </c>
      <c r="BE10" s="241">
        <v>219501</v>
      </c>
      <c r="BF10" s="64">
        <v>4.7609657317941876</v>
      </c>
      <c r="BG10" s="196">
        <v>34371</v>
      </c>
      <c r="BH10" s="196">
        <v>35554</v>
      </c>
      <c r="BI10" s="239">
        <v>69925</v>
      </c>
      <c r="BJ10" s="123">
        <v>1.195919592472334</v>
      </c>
      <c r="BK10" s="196">
        <v>17018</v>
      </c>
      <c r="BL10" s="196">
        <v>16596</v>
      </c>
      <c r="BM10" s="239">
        <v>33614</v>
      </c>
      <c r="BN10" s="123">
        <v>0.57489654889331476</v>
      </c>
      <c r="BO10" s="196">
        <v>7352</v>
      </c>
      <c r="BP10" s="196">
        <v>6551</v>
      </c>
      <c r="BQ10" s="239">
        <v>13903</v>
      </c>
      <c r="BR10" s="123">
        <v>0.23778148150365189</v>
      </c>
      <c r="BS10" s="241">
        <v>117442</v>
      </c>
      <c r="BT10" s="64">
        <v>2.008597622869301</v>
      </c>
      <c r="BU10" s="196">
        <v>16430</v>
      </c>
      <c r="BV10" s="196">
        <v>12411</v>
      </c>
      <c r="BW10" s="239">
        <v>28841</v>
      </c>
      <c r="BX10" s="123">
        <v>0.49326445429380883</v>
      </c>
      <c r="BY10" s="239">
        <v>5846965</v>
      </c>
      <c r="BZ10" s="196">
        <v>2875807</v>
      </c>
      <c r="CA10" s="196">
        <v>2971158</v>
      </c>
      <c r="CB10" s="239">
        <v>5310194</v>
      </c>
      <c r="CC10" s="123">
        <v>90.819664561015841</v>
      </c>
      <c r="CD10" s="239">
        <v>536771</v>
      </c>
      <c r="CE10" s="123">
        <v>9.1803354389841569</v>
      </c>
    </row>
    <row r="11" spans="1:83" x14ac:dyDescent="0.25">
      <c r="A11" s="5" t="s">
        <v>299</v>
      </c>
      <c r="B11" s="5" t="s">
        <v>298</v>
      </c>
      <c r="C11" s="238">
        <v>22167807</v>
      </c>
      <c r="D11" s="196">
        <v>22966879</v>
      </c>
      <c r="E11" s="239">
        <v>45134686</v>
      </c>
      <c r="F11" s="123">
        <v>80.488545598687722</v>
      </c>
      <c r="G11" s="196">
        <v>254427</v>
      </c>
      <c r="H11" s="196">
        <v>276660</v>
      </c>
      <c r="I11" s="239">
        <v>531087</v>
      </c>
      <c r="J11" s="123">
        <v>0.94708580040570711</v>
      </c>
      <c r="K11" s="196">
        <v>28596</v>
      </c>
      <c r="L11" s="196">
        <v>29084</v>
      </c>
      <c r="M11" s="239">
        <v>57680</v>
      </c>
      <c r="N11" s="123">
        <v>0.10286056515674681</v>
      </c>
      <c r="O11" s="196">
        <v>1180088</v>
      </c>
      <c r="P11" s="196">
        <v>1305854</v>
      </c>
      <c r="Q11" s="239">
        <v>2485942</v>
      </c>
      <c r="R11" s="123">
        <v>4.4331726606604276</v>
      </c>
      <c r="S11" s="196">
        <v>82995</v>
      </c>
      <c r="T11" s="196">
        <v>82979</v>
      </c>
      <c r="U11" s="239">
        <v>165974</v>
      </c>
      <c r="V11" s="123">
        <v>0.29598091957915906</v>
      </c>
      <c r="W11" s="196">
        <v>211605</v>
      </c>
      <c r="X11" s="196">
        <v>215110</v>
      </c>
      <c r="Y11" s="196">
        <v>426715</v>
      </c>
      <c r="Z11" s="123">
        <v>0.76095953642269787</v>
      </c>
      <c r="AA11" s="196">
        <v>175686</v>
      </c>
      <c r="AB11" s="196">
        <v>166041</v>
      </c>
      <c r="AC11" s="239">
        <v>341727</v>
      </c>
      <c r="AD11" s="123">
        <v>0.60940069953744125</v>
      </c>
      <c r="AE11" s="196">
        <v>141247</v>
      </c>
      <c r="AF11" s="196">
        <v>148737</v>
      </c>
      <c r="AG11" s="239">
        <v>289984</v>
      </c>
      <c r="AH11" s="123">
        <v>0.51712756807236593</v>
      </c>
      <c r="AI11" s="196">
        <v>1224400</v>
      </c>
      <c r="AJ11" s="64">
        <v>2.1834687236116643</v>
      </c>
      <c r="AK11" s="196">
        <v>719920</v>
      </c>
      <c r="AL11" s="196">
        <v>693038</v>
      </c>
      <c r="AM11" s="239">
        <v>1412958</v>
      </c>
      <c r="AN11" s="123">
        <v>2.5197236203666202</v>
      </c>
      <c r="AO11" s="196">
        <v>576215</v>
      </c>
      <c r="AP11" s="196">
        <v>548296</v>
      </c>
      <c r="AQ11" s="239">
        <v>1124511</v>
      </c>
      <c r="AR11" s="123">
        <v>2.0053369796286149</v>
      </c>
      <c r="AS11" s="196">
        <v>230871</v>
      </c>
      <c r="AT11" s="196">
        <v>216330</v>
      </c>
      <c r="AU11" s="239">
        <v>447201</v>
      </c>
      <c r="AV11" s="216">
        <v>0.7974921567035772</v>
      </c>
      <c r="AW11" s="196">
        <v>186028</v>
      </c>
      <c r="AX11" s="196">
        <v>207113</v>
      </c>
      <c r="AY11" s="239">
        <v>393141</v>
      </c>
      <c r="AZ11" s="123">
        <v>0.70108712632261783</v>
      </c>
      <c r="BA11" s="196">
        <v>407123</v>
      </c>
      <c r="BB11" s="196">
        <v>428597</v>
      </c>
      <c r="BC11" s="239">
        <v>835720</v>
      </c>
      <c r="BD11" s="123">
        <v>1.4903368847572198</v>
      </c>
      <c r="BE11" s="241">
        <v>3377811</v>
      </c>
      <c r="BF11" s="64">
        <v>7.51397676777865</v>
      </c>
      <c r="BG11" s="196">
        <v>479799</v>
      </c>
      <c r="BH11" s="196">
        <v>509829</v>
      </c>
      <c r="BI11" s="239">
        <v>989628</v>
      </c>
      <c r="BJ11" s="123">
        <v>1.7648005439483534</v>
      </c>
      <c r="BK11" s="196">
        <v>276937</v>
      </c>
      <c r="BL11" s="196">
        <v>317888</v>
      </c>
      <c r="BM11" s="239">
        <v>594825</v>
      </c>
      <c r="BN11" s="123">
        <v>1.0607495781789515</v>
      </c>
      <c r="BO11" s="196">
        <v>141464</v>
      </c>
      <c r="BP11" s="196">
        <v>138973</v>
      </c>
      <c r="BQ11" s="239">
        <v>280437</v>
      </c>
      <c r="BR11" s="123">
        <v>0.50010243257390097</v>
      </c>
      <c r="BS11" s="241">
        <v>1864890</v>
      </c>
      <c r="BT11" s="64">
        <v>3.3256525547012057</v>
      </c>
      <c r="BU11" s="196">
        <v>312568</v>
      </c>
      <c r="BV11" s="196">
        <v>251128</v>
      </c>
      <c r="BW11" s="239">
        <v>563696</v>
      </c>
      <c r="BX11" s="123">
        <v>1.0052373289978771</v>
      </c>
      <c r="BY11" s="239">
        <v>56075912</v>
      </c>
      <c r="BZ11" s="196">
        <v>27573376</v>
      </c>
      <c r="CA11" s="196">
        <v>28502536</v>
      </c>
      <c r="CB11" s="239">
        <v>48209395</v>
      </c>
      <c r="CC11" s="123">
        <v>85.971664624910602</v>
      </c>
      <c r="CD11" s="239">
        <v>7866517</v>
      </c>
      <c r="CE11" s="123">
        <v>14.028335375089396</v>
      </c>
    </row>
    <row r="12" spans="1:83" x14ac:dyDescent="0.25">
      <c r="F12"/>
      <c r="J12"/>
      <c r="N12"/>
      <c r="R12"/>
      <c r="V12"/>
      <c r="Z12"/>
      <c r="AD12"/>
      <c r="AH12"/>
      <c r="AI12"/>
      <c r="AJ12"/>
      <c r="AK12"/>
      <c r="AL12"/>
      <c r="AN12"/>
      <c r="AR12"/>
      <c r="AV12"/>
      <c r="AZ12"/>
      <c r="BD12"/>
      <c r="BJ12"/>
      <c r="BN12"/>
      <c r="BR12"/>
      <c r="BS12" s="241"/>
      <c r="BX12"/>
    </row>
    <row r="14" spans="1:83" x14ac:dyDescent="0.25">
      <c r="B14" s="7"/>
    </row>
    <row r="15" spans="1:83" x14ac:dyDescent="0.25">
      <c r="B15" s="19"/>
    </row>
    <row r="16" spans="1:83" x14ac:dyDescent="0.25">
      <c r="B16" s="19"/>
    </row>
    <row r="17" spans="2:2" x14ac:dyDescent="0.25">
      <c r="B17" s="7"/>
    </row>
  </sheetData>
  <mergeCells count="23">
    <mergeCell ref="BY2:CE2"/>
    <mergeCell ref="AA2:AD2"/>
    <mergeCell ref="BS2:BT2"/>
    <mergeCell ref="AW2:AZ2"/>
    <mergeCell ref="BA2:BD2"/>
    <mergeCell ref="AI2:AJ2"/>
    <mergeCell ref="AK2:AN2"/>
    <mergeCell ref="A1:B2"/>
    <mergeCell ref="G2:J2"/>
    <mergeCell ref="K2:N2"/>
    <mergeCell ref="O2:R2"/>
    <mergeCell ref="C2:F2"/>
    <mergeCell ref="C1:CE1"/>
    <mergeCell ref="BU2:BX2"/>
    <mergeCell ref="BK2:BN2"/>
    <mergeCell ref="BO2:BR2"/>
    <mergeCell ref="BE2:BF2"/>
    <mergeCell ref="S2:V2"/>
    <mergeCell ref="W2:Z2"/>
    <mergeCell ref="AO2:AR2"/>
    <mergeCell ref="BG2:BJ2"/>
    <mergeCell ref="AE2:AH2"/>
    <mergeCell ref="AS2:AV2"/>
  </mergeCells>
  <phoneticPr fontId="4" type="noConversion"/>
  <hyperlinks>
    <hyperlink ref="A1:B2" location="'Data by topic'!A1" display="Click here to return to topic homepage"/>
  </hyperlinks>
  <pageMargins left="0.75" right="0.75" top="1" bottom="1" header="0.5" footer="0.5"/>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W13"/>
  <sheetViews>
    <sheetView workbookViewId="0">
      <pane xSplit="2" ySplit="3" topLeftCell="C4" activePane="bottomRight" state="frozen"/>
      <selection pane="topRight" activeCell="C1" sqref="C1"/>
      <selection pane="bottomLeft" activeCell="A4" sqref="A4"/>
      <selection pane="bottomRight" sqref="A1:B2"/>
    </sheetView>
  </sheetViews>
  <sheetFormatPr defaultColWidth="14.6640625" defaultRowHeight="13.2" x14ac:dyDescent="0.25"/>
  <cols>
    <col min="1" max="1" width="14.6640625" customWidth="1"/>
    <col min="2" max="2" width="31.33203125" bestFit="1" customWidth="1"/>
    <col min="3" max="3" width="14.6640625" customWidth="1"/>
    <col min="4" max="4" width="14.6640625" style="64" customWidth="1"/>
    <col min="5" max="5" width="14.6640625" customWidth="1"/>
    <col min="6" max="6" width="14.6640625" style="64" customWidth="1"/>
    <col min="7" max="7" width="14.6640625" customWidth="1"/>
    <col min="8" max="8" width="14.6640625" style="64" customWidth="1"/>
    <col min="9" max="9" width="14.6640625" customWidth="1"/>
    <col min="10" max="10" width="14.6640625" style="64" customWidth="1"/>
    <col min="11" max="11" width="14.6640625" customWidth="1"/>
    <col min="12" max="12" width="14.6640625" style="64" customWidth="1"/>
    <col min="13" max="13" width="14.6640625" customWidth="1"/>
    <col min="14" max="14" width="14.6640625" style="64" customWidth="1"/>
    <col min="15" max="15" width="14.6640625" customWidth="1"/>
    <col min="16" max="16" width="14.6640625" style="64" customWidth="1"/>
    <col min="17" max="17" width="14.6640625" style="1" customWidth="1"/>
    <col min="18" max="18" width="14.6640625" style="64" customWidth="1"/>
    <col min="19" max="19" width="14.6640625" customWidth="1"/>
    <col min="20" max="20" width="14.6640625" style="64" customWidth="1"/>
    <col min="21" max="21" width="14.6640625" customWidth="1"/>
    <col min="22" max="22" width="14.6640625" style="64" customWidth="1"/>
  </cols>
  <sheetData>
    <row r="1" spans="1:23" s="5" customFormat="1" ht="12.75" customHeight="1" x14ac:dyDescent="0.25">
      <c r="A1" s="362" t="s">
        <v>323</v>
      </c>
      <c r="B1" s="363"/>
      <c r="C1" s="366" t="s">
        <v>74</v>
      </c>
      <c r="D1" s="367"/>
      <c r="E1" s="367"/>
      <c r="F1" s="367"/>
      <c r="G1" s="367"/>
      <c r="H1" s="367"/>
      <c r="I1" s="367"/>
      <c r="J1" s="367"/>
      <c r="K1" s="367"/>
      <c r="L1" s="367"/>
      <c r="M1" s="367"/>
      <c r="N1" s="367"/>
      <c r="O1" s="367"/>
      <c r="P1" s="367"/>
      <c r="Q1" s="367"/>
      <c r="R1" s="367"/>
      <c r="S1" s="367"/>
      <c r="T1" s="367"/>
      <c r="U1" s="367"/>
      <c r="V1" s="367"/>
    </row>
    <row r="2" spans="1:23" s="10" customFormat="1" ht="38.25" customHeight="1" x14ac:dyDescent="0.25">
      <c r="A2" s="364"/>
      <c r="B2" s="365"/>
      <c r="C2" s="368" t="s">
        <v>76</v>
      </c>
      <c r="D2" s="368"/>
      <c r="E2" s="368" t="s">
        <v>329</v>
      </c>
      <c r="F2" s="368"/>
      <c r="G2" s="368" t="s">
        <v>77</v>
      </c>
      <c r="H2" s="368"/>
      <c r="I2" s="368" t="s">
        <v>78</v>
      </c>
      <c r="J2" s="368"/>
      <c r="K2" s="368" t="s">
        <v>79</v>
      </c>
      <c r="L2" s="368"/>
      <c r="M2" s="361" t="s">
        <v>80</v>
      </c>
      <c r="N2" s="361"/>
      <c r="O2" s="361" t="s">
        <v>81</v>
      </c>
      <c r="P2" s="361"/>
      <c r="Q2" s="369" t="s">
        <v>344</v>
      </c>
      <c r="R2" s="369"/>
      <c r="S2" s="361" t="s">
        <v>82</v>
      </c>
      <c r="T2" s="361"/>
      <c r="U2" s="361" t="s">
        <v>83</v>
      </c>
      <c r="V2" s="361"/>
      <c r="W2" s="5"/>
    </row>
    <row r="3" spans="1:23" s="11" customFormat="1" ht="51" customHeight="1" x14ac:dyDescent="0.25">
      <c r="A3" s="173" t="s">
        <v>364</v>
      </c>
      <c r="B3" s="173" t="s">
        <v>346</v>
      </c>
      <c r="C3" s="173" t="s">
        <v>5</v>
      </c>
      <c r="D3" s="177" t="s">
        <v>3</v>
      </c>
      <c r="E3" s="173" t="s">
        <v>5</v>
      </c>
      <c r="F3" s="177" t="s">
        <v>3</v>
      </c>
      <c r="G3" s="173" t="s">
        <v>5</v>
      </c>
      <c r="H3" s="177" t="s">
        <v>3</v>
      </c>
      <c r="I3" s="173" t="s">
        <v>5</v>
      </c>
      <c r="J3" s="177" t="s">
        <v>3</v>
      </c>
      <c r="K3" s="173" t="s">
        <v>5</v>
      </c>
      <c r="L3" s="177" t="s">
        <v>3</v>
      </c>
      <c r="M3" s="173" t="s">
        <v>5</v>
      </c>
      <c r="N3" s="177" t="s">
        <v>3</v>
      </c>
      <c r="O3" s="173" t="s">
        <v>5</v>
      </c>
      <c r="P3" s="177" t="s">
        <v>3</v>
      </c>
      <c r="Q3" s="180" t="s">
        <v>5</v>
      </c>
      <c r="R3" s="177" t="s">
        <v>3</v>
      </c>
      <c r="S3" s="173" t="s">
        <v>5</v>
      </c>
      <c r="T3" s="177" t="s">
        <v>3</v>
      </c>
      <c r="U3" s="173" t="s">
        <v>5</v>
      </c>
      <c r="V3" s="177" t="s">
        <v>3</v>
      </c>
    </row>
    <row r="4" spans="1:23" x14ac:dyDescent="0.25">
      <c r="A4" s="122" t="s">
        <v>309</v>
      </c>
      <c r="B4" s="20" t="s">
        <v>142</v>
      </c>
      <c r="C4" s="243">
        <v>55514</v>
      </c>
      <c r="D4" s="152">
        <v>44.817425141482396</v>
      </c>
      <c r="E4" s="243">
        <v>1573</v>
      </c>
      <c r="F4" s="152">
        <v>1.2699104684863605</v>
      </c>
      <c r="G4" s="244">
        <v>2058</v>
      </c>
      <c r="H4" s="152">
        <v>1.6614594686236044</v>
      </c>
      <c r="I4" s="243">
        <v>870</v>
      </c>
      <c r="J4" s="152">
        <v>0.70236624766887068</v>
      </c>
      <c r="K4" s="243">
        <v>4897</v>
      </c>
      <c r="L4" s="152">
        <v>3.9534339250970802</v>
      </c>
      <c r="M4" s="243">
        <v>213</v>
      </c>
      <c r="N4" s="152">
        <v>1.7195863304996488E-5</v>
      </c>
      <c r="O4" s="243">
        <v>703</v>
      </c>
      <c r="P4" s="152">
        <v>0.56754422081748979</v>
      </c>
      <c r="Q4" s="241">
        <v>10314</v>
      </c>
      <c r="R4" s="64">
        <v>8.3266729637433698</v>
      </c>
      <c r="S4" s="243">
        <v>46839</v>
      </c>
      <c r="T4" s="152">
        <v>37.81394560294509</v>
      </c>
      <c r="U4" s="243">
        <v>11200</v>
      </c>
      <c r="V4" s="152">
        <v>9.0419562918291394</v>
      </c>
      <c r="W4" s="143"/>
    </row>
    <row r="5" spans="1:23" x14ac:dyDescent="0.25">
      <c r="A5" s="122" t="s">
        <v>84</v>
      </c>
      <c r="B5" s="20" t="s">
        <v>143</v>
      </c>
      <c r="C5" s="243">
        <v>52243</v>
      </c>
      <c r="D5" s="152">
        <v>62.329093989357901</v>
      </c>
      <c r="E5" s="243">
        <v>285</v>
      </c>
      <c r="F5" s="152">
        <v>0.34002242954973871</v>
      </c>
      <c r="G5" s="244">
        <v>149</v>
      </c>
      <c r="H5" s="152">
        <v>0.17776611229091605</v>
      </c>
      <c r="I5" s="243">
        <v>122</v>
      </c>
      <c r="J5" s="152">
        <v>0.14555346107041447</v>
      </c>
      <c r="K5" s="243">
        <v>369</v>
      </c>
      <c r="L5" s="152">
        <v>0.44023956668018799</v>
      </c>
      <c r="M5" s="243">
        <v>117</v>
      </c>
      <c r="N5" s="152">
        <v>1.3958815528884012E-5</v>
      </c>
      <c r="O5" s="243">
        <v>337</v>
      </c>
      <c r="P5" s="152">
        <v>0.40206160967811205</v>
      </c>
      <c r="Q5" s="241">
        <v>1379</v>
      </c>
      <c r="R5" s="64">
        <v>1.6452313345582095</v>
      </c>
      <c r="S5" s="243">
        <v>23565</v>
      </c>
      <c r="T5" s="152">
        <v>28.114486148559976</v>
      </c>
      <c r="U5" s="243">
        <v>6631</v>
      </c>
      <c r="V5" s="152">
        <v>7.9111885275239215</v>
      </c>
      <c r="W5" s="143"/>
    </row>
    <row r="6" spans="1:23" x14ac:dyDescent="0.25">
      <c r="A6" s="122" t="s">
        <v>85</v>
      </c>
      <c r="B6" s="20" t="s">
        <v>144</v>
      </c>
      <c r="C6" s="243">
        <v>63242</v>
      </c>
      <c r="D6" s="152">
        <v>66.387436753374914</v>
      </c>
      <c r="E6" s="243">
        <v>182</v>
      </c>
      <c r="F6" s="152">
        <v>0.19105204593646993</v>
      </c>
      <c r="G6" s="244">
        <v>193</v>
      </c>
      <c r="H6" s="152">
        <v>0.2025991476139489</v>
      </c>
      <c r="I6" s="243">
        <v>108</v>
      </c>
      <c r="J6" s="152">
        <v>0.11337154374252063</v>
      </c>
      <c r="K6" s="243">
        <v>395</v>
      </c>
      <c r="L6" s="152">
        <v>0.41464592387310784</v>
      </c>
      <c r="M6" s="243">
        <v>113</v>
      </c>
      <c r="N6" s="152">
        <v>1.1862022632319288E-5</v>
      </c>
      <c r="O6" s="243">
        <v>345</v>
      </c>
      <c r="P6" s="152">
        <v>0.36215909806638535</v>
      </c>
      <c r="Q6" s="241">
        <v>1336</v>
      </c>
      <c r="R6" s="64">
        <v>1.4024479855556256</v>
      </c>
      <c r="S6" s="243">
        <v>23846</v>
      </c>
      <c r="T6" s="152">
        <v>25.032016963742098</v>
      </c>
      <c r="U6" s="243">
        <v>6838</v>
      </c>
      <c r="V6" s="152">
        <v>7.1780982973273701</v>
      </c>
      <c r="W6" s="143"/>
    </row>
    <row r="7" spans="1:23" x14ac:dyDescent="0.25">
      <c r="A7" s="124" t="s">
        <v>86</v>
      </c>
      <c r="B7" s="21" t="s">
        <v>145</v>
      </c>
      <c r="C7" s="243">
        <v>103070</v>
      </c>
      <c r="D7" s="152">
        <v>60.805389716119592</v>
      </c>
      <c r="E7" s="243">
        <v>524</v>
      </c>
      <c r="F7" s="152">
        <v>0.30912995256861031</v>
      </c>
      <c r="G7" s="244">
        <v>619</v>
      </c>
      <c r="H7" s="152">
        <v>0.36517450503811028</v>
      </c>
      <c r="I7" s="243">
        <v>190</v>
      </c>
      <c r="J7" s="152">
        <v>0.11208910493899991</v>
      </c>
      <c r="K7" s="243">
        <v>1865</v>
      </c>
      <c r="L7" s="152">
        <v>1.1002430563749204</v>
      </c>
      <c r="M7" s="243">
        <v>266</v>
      </c>
      <c r="N7" s="152">
        <v>1.569247469145999E-5</v>
      </c>
      <c r="O7" s="243">
        <v>683</v>
      </c>
      <c r="P7" s="152">
        <v>0.40293083512282607</v>
      </c>
      <c r="Q7" s="241">
        <v>4147</v>
      </c>
      <c r="R7" s="64">
        <v>2.4464922009580672</v>
      </c>
      <c r="S7" s="243">
        <v>50025</v>
      </c>
      <c r="T7" s="152">
        <v>29.511881445123535</v>
      </c>
      <c r="U7" s="243">
        <v>12266</v>
      </c>
      <c r="V7" s="152">
        <v>7.2362366377988057</v>
      </c>
      <c r="W7" s="143"/>
    </row>
    <row r="8" spans="1:23" x14ac:dyDescent="0.25">
      <c r="A8" s="119" t="s">
        <v>87</v>
      </c>
      <c r="B8" s="126" t="s">
        <v>146</v>
      </c>
      <c r="C8" s="243">
        <v>87463</v>
      </c>
      <c r="D8" s="152">
        <v>58.796679103223425</v>
      </c>
      <c r="E8" s="243">
        <v>700</v>
      </c>
      <c r="F8" s="152">
        <v>0.47057241773385766</v>
      </c>
      <c r="G8" s="244">
        <v>1123</v>
      </c>
      <c r="H8" s="152">
        <v>0.75493260730731737</v>
      </c>
      <c r="I8" s="243">
        <v>362</v>
      </c>
      <c r="J8" s="152">
        <v>0.24335316459950926</v>
      </c>
      <c r="K8" s="243">
        <v>1464</v>
      </c>
      <c r="L8" s="152">
        <v>0.98416859937481094</v>
      </c>
      <c r="M8" s="243">
        <v>186</v>
      </c>
      <c r="N8" s="152">
        <v>1.2503781385499648E-5</v>
      </c>
      <c r="O8" s="243">
        <v>568</v>
      </c>
      <c r="P8" s="152">
        <v>0.38183590467547313</v>
      </c>
      <c r="Q8" s="241">
        <v>4403</v>
      </c>
      <c r="R8" s="64">
        <v>2.959900507545965</v>
      </c>
      <c r="S8" s="243">
        <v>44741</v>
      </c>
      <c r="T8" s="152">
        <v>30.076972202615039</v>
      </c>
      <c r="U8" s="243">
        <v>12148</v>
      </c>
      <c r="V8" s="152">
        <v>8.1664481866155754</v>
      </c>
      <c r="W8" s="143"/>
    </row>
    <row r="9" spans="1:23" x14ac:dyDescent="0.25">
      <c r="A9" s="121" t="s">
        <v>295</v>
      </c>
      <c r="B9" s="6" t="s">
        <v>294</v>
      </c>
      <c r="C9" s="243">
        <v>361532</v>
      </c>
      <c r="D9" s="152">
        <v>58.198032871331748</v>
      </c>
      <c r="E9" s="243">
        <v>3264</v>
      </c>
      <c r="F9" s="152">
        <v>0.52542618438209299</v>
      </c>
      <c r="G9" s="243">
        <v>4142</v>
      </c>
      <c r="H9" s="152">
        <v>0.66676325236232514</v>
      </c>
      <c r="I9" s="243">
        <v>1652</v>
      </c>
      <c r="J9" s="152">
        <v>0.26593261537966228</v>
      </c>
      <c r="K9" s="243">
        <v>8990</v>
      </c>
      <c r="L9" s="152">
        <v>1.4471756732827867</v>
      </c>
      <c r="M9" s="243">
        <v>895</v>
      </c>
      <c r="N9" s="152">
        <v>0.14407366269055552</v>
      </c>
      <c r="O9" s="243">
        <v>2636</v>
      </c>
      <c r="P9" s="152">
        <v>0.42433315625955798</v>
      </c>
      <c r="Q9" s="241">
        <v>21579</v>
      </c>
      <c r="R9" s="64">
        <v>3.4737045443569805</v>
      </c>
      <c r="S9" s="243">
        <v>189016</v>
      </c>
      <c r="T9" s="152">
        <v>30.427069750969881</v>
      </c>
      <c r="U9" s="243">
        <v>49083</v>
      </c>
      <c r="V9" s="152">
        <v>7.9011928333413817</v>
      </c>
      <c r="W9" s="143"/>
    </row>
    <row r="10" spans="1:23" x14ac:dyDescent="0.25">
      <c r="A10" s="5" t="s">
        <v>297</v>
      </c>
      <c r="B10" s="5" t="s">
        <v>296</v>
      </c>
      <c r="C10" s="243">
        <v>3488063</v>
      </c>
      <c r="D10" s="152">
        <v>59.655958262106921</v>
      </c>
      <c r="E10" s="243">
        <v>22273</v>
      </c>
      <c r="F10" s="152">
        <v>0.3809326719075623</v>
      </c>
      <c r="G10" s="243">
        <v>54010</v>
      </c>
      <c r="H10" s="152">
        <v>0.92372709602332148</v>
      </c>
      <c r="I10" s="243">
        <v>34830</v>
      </c>
      <c r="J10" s="152">
        <v>0.59569366329369167</v>
      </c>
      <c r="K10" s="243">
        <v>148341</v>
      </c>
      <c r="L10" s="152">
        <v>2.5370598250545369</v>
      </c>
      <c r="M10" s="243">
        <v>18213</v>
      </c>
      <c r="N10" s="152">
        <v>0.31149493797209321</v>
      </c>
      <c r="O10" s="243">
        <v>24981</v>
      </c>
      <c r="P10" s="152">
        <v>0.42724729838471748</v>
      </c>
      <c r="Q10" s="241">
        <v>302648</v>
      </c>
      <c r="R10" s="64">
        <v>5.1761554926359237</v>
      </c>
      <c r="S10" s="243">
        <v>1631572</v>
      </c>
      <c r="T10" s="152">
        <v>27.904596658266296</v>
      </c>
      <c r="U10" s="243">
        <v>424682</v>
      </c>
      <c r="V10" s="152">
        <v>7.263289586990858</v>
      </c>
      <c r="W10" s="143"/>
    </row>
    <row r="11" spans="1:23" x14ac:dyDescent="0.25">
      <c r="A11" s="5" t="s">
        <v>299</v>
      </c>
      <c r="B11" s="5" t="s">
        <v>298</v>
      </c>
      <c r="C11" s="243">
        <v>33243175</v>
      </c>
      <c r="D11" s="152">
        <v>59.282450903339743</v>
      </c>
      <c r="E11" s="243">
        <v>247743</v>
      </c>
      <c r="F11" s="152">
        <v>0.44179932374528302</v>
      </c>
      <c r="G11" s="243">
        <v>816633</v>
      </c>
      <c r="H11" s="152">
        <v>1.4562990968385856</v>
      </c>
      <c r="I11" s="243">
        <v>263346</v>
      </c>
      <c r="J11" s="152">
        <v>0.46962410526644671</v>
      </c>
      <c r="K11" s="243">
        <v>2706066</v>
      </c>
      <c r="L11" s="152">
        <v>4.8257191073414907</v>
      </c>
      <c r="M11" s="243">
        <v>423158</v>
      </c>
      <c r="N11" s="152">
        <v>0.75461634935157185</v>
      </c>
      <c r="O11" s="243">
        <v>240530</v>
      </c>
      <c r="P11" s="152">
        <v>0.42893640320999149</v>
      </c>
      <c r="Q11" s="241">
        <v>4697476</v>
      </c>
      <c r="R11" s="64">
        <v>8.3769943857533704</v>
      </c>
      <c r="S11" s="243">
        <v>14097229</v>
      </c>
      <c r="T11" s="152">
        <v>25.139544765674078</v>
      </c>
      <c r="U11" s="243">
        <v>4038032</v>
      </c>
      <c r="V11" s="152">
        <v>7.2010099452328129</v>
      </c>
      <c r="W11" s="143"/>
    </row>
    <row r="12" spans="1:23" x14ac:dyDescent="0.25">
      <c r="Q12"/>
    </row>
    <row r="13" spans="1:23" x14ac:dyDescent="0.25">
      <c r="Q13"/>
    </row>
  </sheetData>
  <mergeCells count="12">
    <mergeCell ref="A1:B2"/>
    <mergeCell ref="S2:T2"/>
    <mergeCell ref="U2:V2"/>
    <mergeCell ref="C1:V1"/>
    <mergeCell ref="C2:D2"/>
    <mergeCell ref="E2:F2"/>
    <mergeCell ref="G2:H2"/>
    <mergeCell ref="I2:J2"/>
    <mergeCell ref="K2:L2"/>
    <mergeCell ref="M2:N2"/>
    <mergeCell ref="O2:P2"/>
    <mergeCell ref="Q2:R2"/>
  </mergeCells>
  <phoneticPr fontId="4" type="noConversion"/>
  <hyperlinks>
    <hyperlink ref="A1:B2" location="'Data by topic'!A1" display="Click here to return to topic homepage"/>
  </hyperlinks>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Data by district</vt:lpstr>
      <vt:lpstr>Data by topic</vt:lpstr>
      <vt:lpstr>About Us</vt:lpstr>
      <vt:lpstr>Profile sheet</vt:lpstr>
      <vt:lpstr>Districts</vt:lpstr>
      <vt:lpstr>iadatasheet_population</vt:lpstr>
      <vt:lpstr>iadatasheet_household type</vt:lpstr>
      <vt:lpstr>iadatasheet_ethnicity</vt:lpstr>
      <vt:lpstr>iadatasheet_religion</vt:lpstr>
      <vt:lpstr>iadatasheet_qualifications</vt:lpstr>
      <vt:lpstr>iadatasheet_health</vt:lpstr>
      <vt:lpstr>iadatasheet_country of birth</vt:lpstr>
      <vt:lpstr>iadatasheet_dwelling type</vt:lpstr>
      <vt:lpstr>iadatasheet_economic activity</vt:lpstr>
      <vt:lpstr>iadatasheet_travel to work</vt:lpstr>
      <vt:lpstr>iadatasheet_passports held</vt:lpstr>
      <vt:lpstr>iadatasheet_length of residence</vt:lpstr>
      <vt:lpstr>Metadata</vt:lpstr>
      <vt:lpstr>Market_towns</vt:lpstr>
      <vt:lpstr>'Profile sheet'!Print_Area</vt:lpstr>
    </vt:vector>
  </TitlesOfParts>
  <Company>Cambridgeshire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Census - Parish database</dc:title>
  <dc:subject>2011 census</dc:subject>
  <dc:creator>Nicola Polley</dc:creator>
  <cp:lastModifiedBy>Jamie Leeman</cp:lastModifiedBy>
  <cp:lastPrinted>2014-02-10T14:00:40Z</cp:lastPrinted>
  <dcterms:created xsi:type="dcterms:W3CDTF">2004-06-07T15:49:00Z</dcterms:created>
  <dcterms:modified xsi:type="dcterms:W3CDTF">2017-12-19T11:24:35Z</dcterms:modified>
</cp:coreProperties>
</file>